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715" windowHeight="8565" activeTab="0"/>
  </bookViews>
  <sheets>
    <sheet name="102重大計畫預算執行績效分析表彙" sheetId="1" r:id="rId1"/>
  </sheets>
  <externalReferences>
    <externalReference r:id="rId4"/>
  </externalReferences>
  <definedNames>
    <definedName name="_xlnm.Print_Area" localSheetId="0">'102重大計畫預算執行績效分析表彙'!$A$1:$AC$41</definedName>
    <definedName name="_xlnm.Print_Titles" localSheetId="0">'102重大計畫預算執行績效分析表彙'!$1:$6</definedName>
    <definedName name="人_事_費_分_析_表">#REF!</definedName>
    <definedName name="公_用_珍_貴_動_產_、_不_動_產_目_錄_總_表">#REF!</definedName>
    <definedName name="公_用_財_產_目_錄_總___表">#REF!</definedName>
    <definedName name="以前年度歲入來源別轉入數決算表">#REF!</definedName>
    <definedName name="以前年度歲出政事別轉入數決算表">#REF!</definedName>
    <definedName name="以前年度歲出機關別轉入數決算表">#REF!</definedName>
    <definedName name="以前年度歲出轉入數國庫已撥及未撥款項明細表">#REF!</definedName>
    <definedName name="出國計畫執行情形報告表">#REF!</definedName>
    <definedName name="本年度經費預算國庫已撥及未撥款項明細表">#REF!</definedName>
    <definedName name="委託辦理計畫_事項_經費報告表">#REF!</definedName>
    <definedName name="重大計畫預算執行績效分析表" localSheetId="0">#REF!</definedName>
    <definedName name="重大計畫預算執行績效分析表">#REF!</definedName>
    <definedName name="退還以前年度納庫款明細表">#REF!</definedName>
    <definedName name="歲_入_來_源_別_決_算_表">#REF!</definedName>
    <definedName name="歲_出_政_事_別_決_算_表">#REF!</definedName>
    <definedName name="歲_出_機_關_別_決_算_表">#REF!</definedName>
    <definedName name="歲入保留數_或未結清數_分析表">#REF!</definedName>
    <definedName name="歲入經費明細表">#REF!</definedName>
    <definedName name="歲入餘絀數_或減免、註銷數_分析表">#REF!</definedName>
    <definedName name="歲入類、經費類平衡表">#REF!</definedName>
    <definedName name="歲入類待納庫款明細表">#REF!</definedName>
    <definedName name="歲出用途別決算分析表">#REF!</definedName>
    <definedName name="歲出用途別決算綜計表">#REF!</definedName>
    <definedName name="歲出保留數_或未結清數_分析表">#REF!</definedName>
    <definedName name="歲出按職能及經濟性綜合分類表">#REF!</definedName>
    <definedName name="歲出賸餘數_或減免、註銷數_分析表">#REF!</definedName>
    <definedName name="經費類經費賸餘明細表">#REF!</definedName>
    <definedName name="增購及汰換車輛明細表">#REF!</definedName>
    <definedName name="機關名稱_對直接投資、所屬各部門轉投資及共同投資之效益評估表">#REF!</definedName>
  </definedNames>
  <calcPr fullCalcOnLoad="1"/>
</workbook>
</file>

<file path=xl/sharedStrings.xml><?xml version="1.0" encoding="utf-8"?>
<sst xmlns="http://schemas.openxmlformats.org/spreadsheetml/2006/main" count="125" uniqueCount="102">
  <si>
    <t>計畫執行進度</t>
  </si>
  <si>
    <t>預定</t>
  </si>
  <si>
    <t>實際</t>
  </si>
  <si>
    <t>合計</t>
  </si>
  <si>
    <t xml:space="preserve"> - </t>
  </si>
  <si>
    <t>符合執行進度。</t>
  </si>
  <si>
    <t>推展家庭暴力及性侵害防治業務</t>
  </si>
  <si>
    <r>
      <t>內</t>
    </r>
    <r>
      <rPr>
        <sz val="18"/>
        <color indexed="8"/>
        <rFont val="Times New Roman"/>
        <family val="1"/>
      </rPr>
      <t xml:space="preserve">  </t>
    </r>
    <r>
      <rPr>
        <sz val="18"/>
        <color indexed="8"/>
        <rFont val="標楷體"/>
        <family val="4"/>
      </rPr>
      <t>政</t>
    </r>
    <r>
      <rPr>
        <sz val="18"/>
        <color indexed="8"/>
        <rFont val="Times New Roman"/>
        <family val="1"/>
      </rPr>
      <t xml:space="preserve">  </t>
    </r>
    <r>
      <rPr>
        <sz val="18"/>
        <color indexed="8"/>
        <rFont val="標楷體"/>
        <family val="4"/>
      </rPr>
      <t>部</t>
    </r>
  </si>
  <si>
    <r>
      <t>彙</t>
    </r>
    <r>
      <rPr>
        <sz val="18"/>
        <color indexed="8"/>
        <rFont val="Times New Roman"/>
        <family val="1"/>
      </rPr>
      <t xml:space="preserve">  </t>
    </r>
    <r>
      <rPr>
        <sz val="18"/>
        <color indexed="8"/>
        <rFont val="標楷體"/>
        <family val="4"/>
      </rPr>
      <t>編</t>
    </r>
  </si>
  <si>
    <t>重大計畫執行</t>
  </si>
  <si>
    <t>績效報告表</t>
  </si>
  <si>
    <t>中華民國</t>
  </si>
  <si>
    <t>單位：新臺幣千元</t>
  </si>
  <si>
    <t>計畫
名稱</t>
  </si>
  <si>
    <t>計畫
總金額</t>
  </si>
  <si>
    <t>截至本
年度已
編列預
算數</t>
  </si>
  <si>
    <t>可支用預算數</t>
  </si>
  <si>
    <t>執行數</t>
  </si>
  <si>
    <t>執行數占預算數
百分比％</t>
  </si>
  <si>
    <t>執行未達90%之原因及其改進措施</t>
  </si>
  <si>
    <t>總計畫實際執行進度未達預定進度之原因及其改善措施</t>
  </si>
  <si>
    <t>總計畫目標達成情形</t>
  </si>
  <si>
    <t>以前
年度</t>
  </si>
  <si>
    <t>本
年度</t>
  </si>
  <si>
    <t>合計</t>
  </si>
  <si>
    <t>本期
執行數</t>
  </si>
  <si>
    <t>累計
執行數</t>
  </si>
  <si>
    <t xml:space="preserve">本期執行數占
可支用預算數
百分比%
</t>
  </si>
  <si>
    <t xml:space="preserve">累計執行數占截
至本年度已編列
預算數百分比%
</t>
  </si>
  <si>
    <t>實現數</t>
  </si>
  <si>
    <t>應付數</t>
  </si>
  <si>
    <t>賸餘數</t>
  </si>
  <si>
    <t>本期實現數占可支用預算數百分比％</t>
  </si>
  <si>
    <t>本期應付數占可支用預算數百分比％</t>
  </si>
  <si>
    <t>本期賸餘數占可支用預算數百分比％</t>
  </si>
  <si>
    <t>累計實現數占截至本年度已編列預算數百分比 ％</t>
  </si>
  <si>
    <t>累計應付數占截至本年度已編列預算數百分比％</t>
  </si>
  <si>
    <t>累計賸餘數占截至本年度已編列預算數百分比 ％</t>
  </si>
  <si>
    <t>總累計％</t>
  </si>
  <si>
    <t>年累計％</t>
  </si>
  <si>
    <t>本部部分︰</t>
  </si>
  <si>
    <t>本部國土測繪中心部分︰</t>
  </si>
  <si>
    <t>本部土地重劃工程處部分︰</t>
  </si>
  <si>
    <t>輔導宗教團體參與社會公益，鼓勵捐資興公益慈善事業</t>
  </si>
  <si>
    <t>宣導生命傳承之重要性</t>
  </si>
  <si>
    <t>建立社區初級預防照顧服務體系</t>
  </si>
  <si>
    <t>地籍清理實施計畫</t>
  </si>
  <si>
    <t>自然人憑證發證及應用推廣計畫</t>
  </si>
  <si>
    <t>應用先進航遙測技術發展空間資訊計畫</t>
  </si>
  <si>
    <t>基本測量及圖資測製實施計畫</t>
  </si>
  <si>
    <t>地籍圖重測計畫</t>
  </si>
  <si>
    <t>測繪科技發展後續計畫</t>
  </si>
  <si>
    <t>國土測繪資訊整合</t>
  </si>
  <si>
    <t>基本測量及圖資測製實施計畫</t>
  </si>
  <si>
    <t>農村社區土地重劃示範計畫</t>
  </si>
  <si>
    <t>村里集會所活動中心興建及修繕四年專案計畫</t>
  </si>
  <si>
    <t>國家地理資訊系統計畫</t>
  </si>
  <si>
    <t>推動婦女培力計畫</t>
  </si>
  <si>
    <t>推動長期照顧服務機制</t>
  </si>
  <si>
    <t>強化戶役政資訊系統與應用推廣計畫</t>
  </si>
  <si>
    <t>符合執行進度。</t>
  </si>
  <si>
    <t>每年一編非延續性中程計畫</t>
  </si>
  <si>
    <t>已全數執行完竣。</t>
  </si>
  <si>
    <t>已全數執行完竣。</t>
  </si>
  <si>
    <t>計畫總金額1,700,000千元下修為947,268千元</t>
  </si>
  <si>
    <t>殯葬設施示範計畫第2期</t>
  </si>
  <si>
    <t>已全數執行完竣。</t>
  </si>
  <si>
    <r>
      <t xml:space="preserve"> 102</t>
    </r>
    <r>
      <rPr>
        <sz val="16"/>
        <color indexed="8"/>
        <rFont val="標楷體"/>
        <family val="4"/>
      </rPr>
      <t>年度</t>
    </r>
  </si>
  <si>
    <t>健全地方制度，強化地方自治效能</t>
  </si>
  <si>
    <t>深化民主改革</t>
  </si>
  <si>
    <t>弘揚孝道，促道社會祥和</t>
  </si>
  <si>
    <t>健全殯葬法制，提升殯葬服務品質</t>
  </si>
  <si>
    <t>殯葬設施示範計畫第3期</t>
  </si>
  <si>
    <t>一、本計畫經行政院102年4月29日核定，因立法院全數凍結經費，迄至102年6月17日准予動支，致影響後續核定地方政府補助計畫及招標作業進度。
二、本部持續召開計畫控管會議，督請地方政府積極執行，並依期程進度辦理撥款作業，以有效控管計畫執行進度。
三、本計畫保留款932萬6,200元；另3件補助案件計2,874萬元，因配合款未獲議會通過等原因撤案，上述金額共3,806萬6,200元占可支用預算38.31％，致本期執行數未達90%。</t>
  </si>
  <si>
    <t>一、本計畫經行政院102年4月29日核定，因立法院全數凍結經費，迄至102年6月17日准予動支，致影響後續核定地方政府補助計畫及招標作業進度。
二、為避免計畫之延宕，103年度需求計畫業已會同各地方政府辦理實地會勘，於103年1月底前邀請相關部會、機關及地方政府召開審查會議、並將結果函知受補助單位，俾利後續召開計畫控管會議，督請各單位積極執行本計畫。</t>
  </si>
  <si>
    <t>一、環保自然葬法目標數12處，共完成3處。
二、公墓更新、環保自然葬法後新建骨灰骸存放設施目標數4處，共完成1處。
三、102-103年補助新建具區域性服務功能之殯葬園區(含火化場及殯儀館)目標數2處，共完成1處。
四、原住民山地鄉(區)辦理既有公墓更新，引導葬俗改變目標數4處，尚未完成。
五、回教公墓興設或更新目標數4處，尚未完成。</t>
  </si>
  <si>
    <t>健全地方發展均衡基礎建設計畫</t>
  </si>
  <si>
    <t>102年核定補助直轄市及各縣市村里集會所活動中心興建及修繕案有120件、基礎公共設施有143 件，合計263件，已完成村里集會所活動中心興建及修繕案有44件、基礎公共設施84 件，另有村里集會所興建76件及基礎公共設施59件因施工期程較長，合約跨越年度，尚在施工中，將對未完成興建案件持續定期召開控管會議以追蹤執行進度。</t>
  </si>
  <si>
    <t>102年核定補助直轄市及各縣市村里集會所活動中心興建及修繕案有120件、基礎公共設施有143 件，合計263件，已完成村里集會所活動中心興建及修繕案有44件、基礎公共設施84 件，另有村里集會所興建76件及基礎公共設施59件因施工期程較長，合約跨越年度，尚在施工中。</t>
  </si>
  <si>
    <t>提報5年計畫，惟主計總處僅同意以每年核定之預算金額逐年加計總計畫金額內，未一次核定5年總計畫金額</t>
  </si>
  <si>
    <t xml:space="preserve">符合執行進度。
</t>
  </si>
  <si>
    <t>已完成下列作業項目:
一、先期規劃6區：臺南市官田區西庄社區、雲林縣古坑鄉麻園社區、宜蘭縣員山鄉枕山社區、冬山鄉丸山社區、礁溪鄉林美社區及壯圍鄉廍後社區等6區，面積49.64公頃。
二、重劃建設1區：南投縣埔里鎮大湳社區，面積9.05公頃。
三、測量及地籍整理1區：南投縣埔里鎮大湳社區，面積9.05公頃。</t>
  </si>
  <si>
    <t>一、臺中市北屯區四民里活動中心，因工程施工期間變更設計，與廠商發生爭議致雙方進行訴訟；北市內湖區民活動中心興建計畫因民眾抗爭、議員關切；基隆市正砂里民活動中心因廠商財務問題解除合約，均重新發包工程。
二、新竹縣、苗栗縣、彰化縣、雲林縣、屏東縣村集會所活動中心興建等9件因變更設計，致使工程期程延宕，尚未完工驗收，或尚在申請使用執照，未完成結算，致未能請撥尾款。
三、將持續召開控管會議，並請補助機關依規定請撥經費事宜。</t>
  </si>
  <si>
    <t>本計畫計保留39件，已執行完成結案27件，12件尚未完成。未完成件數其中3件工程重新發包，尚在施工中，另9件因變更設計或因尚在申請使用執照，致未能請撥尾款。</t>
  </si>
  <si>
    <t>本計畫係配合預算執行節約措施，撙節開支，致經費節餘。</t>
  </si>
  <si>
    <t xml:space="preserve">業已審核全國性及地方性團體所送計畫申請案件，截至102年12月底止計補助482案，核撥經費計3,713萬8千元，受益人數1萬5,050人次。                  </t>
  </si>
  <si>
    <t>計畫總金額1,359,220千元下修為497,904千元
以前年度實現數3,819千元收回轉賸餘數</t>
  </si>
  <si>
    <t>符合執行進度。
102年度流出1,000千元。</t>
  </si>
  <si>
    <t>已全數執行完竣。
102年度流出3,214千元。</t>
  </si>
  <si>
    <t xml:space="preserve">一、本計畫計保留39件，其中臺中市北屯區四民里活動中心，因工程施工期間變更設計，與廠商發生爭議致雙方進行訴訟；北市內湖區民活動中心興建計畫因民眾抗爭、議員關切；基隆市正砂里民活動中心因廠商財務問題解除合約，均重新發包工程，尚在施工中。
二、新竹縣、苗栗縣、彰化縣、雲林縣、屏東縣村集會所活動中心興建等9件因變更設計，致使工程期程延宕，尚未完工驗收，或尚在申請使用執照，未完成結算，致未能請撥尾款。
</t>
  </si>
  <si>
    <t>三、將持續召開控管會議，並請補助機關依規定請撥經費事宜。</t>
  </si>
  <si>
    <t xml:space="preserve">一、100至101年度花東及山區重力測量工作完成673點。
二、100至102年度臺灣本島近案船載重力測量作業完成約4,360公里近案船載重力測量。
三、完成臺灣地區發展高程現代化作業技術先期研究。
四、辦理e-GPS即時動態定位系統核心軟體現代化更新升級作業及衛星追蹤站正高測設。
五、建置完成現代化TWD97國家坐標系統變位模組。
六、100至102年度測量儀器校正實驗室共計完成經緯儀438部、測距儀447部、衛星定位儀343部。
</t>
  </si>
  <si>
    <t xml:space="preserve">一、「圖解數化地籍圖整合建置及都市計畫地形圖套疊計畫」96至102年度計畫經費為595,094千元，實際核列144,715千元，因公共建設預算限制，嚴重影響本計畫推展速度，將積極爭取經費。
二、本計畫自95年度起辦理，全案於98年8月順利完成全國（含金馬地區）共計5,639幅國土利用調查成果建置工作，並自98年度起持續辦理調查成果更新維護作業，98年度計更新120圖幅調查成果、99年度計更新200圖幅調查成果、100年度計更新240圖幅調查成果、101年度計更新584圖幅調查成果、102年度計更新572圖幅調查成果。
</t>
  </si>
  <si>
    <t>三、本計畫自96年度起辦理，100年度完成測製全國(含金馬地區)通用版電子地圖面積390萬餘公頃5,578幅通用版電子地圖，並自101年度起持續辦理成果更新維護作業，101年度更新876圖幅、102年度更新537圖幅。
四、完成本年度擴充及維護「國土測繪資訊整合流通倉儲服務網站暨倉儲資料庫」。
五、完成本年度擴充及維護國土測繪圖資網路地圖服務系統，建立地籍圖分幅對位平台。
六、完成本年度擴充及維護測繪知識管理系統功能。
七、完成本年度擴充及維護e-GPS即時動態定位服務系統暨系統軟體現代化更新作業。</t>
  </si>
  <si>
    <t>一、有關農村社區土地重劃開發案件，本部營建署刻正研擬訂定非都市土地開發審議作業規範專編事宜，且於專編訂定前此類案件暫緩提本部區域計畫委員會審議，致新竹市香山區中隘社區及雲林縣古坑鄉水碓社區等2區尚未能取得非都市土地開發許可，影響後續工程設計及重劃建設作業執行。
二、請本部營建署儘速完成非都市土地開發審議作業規範農村社區土地重劃專編之訂定，俾利後續審議作業進行，並督促新竹市政府及雲林縣政府俟取得非都市土地開發許可後，趕辦後續工程設計及重劃建設作業。</t>
  </si>
  <si>
    <r>
      <t>本年度編列預算數為</t>
    </r>
    <r>
      <rPr>
        <sz val="12"/>
        <rFont val="Arial"/>
        <family val="2"/>
      </rPr>
      <t>200</t>
    </r>
    <r>
      <rPr>
        <sz val="12"/>
        <rFont val="細明體"/>
        <family val="3"/>
      </rPr>
      <t>萬，因相關計畫所需金額略高於預算數，向其他業務費項目勻支</t>
    </r>
    <r>
      <rPr>
        <sz val="12"/>
        <rFont val="Arial"/>
        <family val="2"/>
      </rPr>
      <t>5</t>
    </r>
    <r>
      <rPr>
        <sz val="12"/>
        <rFont val="細明體"/>
        <family val="3"/>
      </rPr>
      <t>萬</t>
    </r>
    <r>
      <rPr>
        <sz val="12"/>
        <rFont val="Arial"/>
        <family val="2"/>
      </rPr>
      <t>7,776</t>
    </r>
    <r>
      <rPr>
        <sz val="12"/>
        <rFont val="細明體"/>
        <family val="3"/>
      </rPr>
      <t>元，爰可支用預算數修正為</t>
    </r>
    <r>
      <rPr>
        <sz val="12"/>
        <rFont val="Arial"/>
        <family val="2"/>
      </rPr>
      <t>205.8</t>
    </r>
    <r>
      <rPr>
        <sz val="12"/>
        <rFont val="細明體"/>
        <family val="3"/>
      </rPr>
      <t>萬元。</t>
    </r>
  </si>
  <si>
    <t>已全數執行完竣。
102年度由其他業務費項目勻支5萬7,776元。</t>
  </si>
  <si>
    <t>95至102年度計畫預定辦理筆數計133萬650筆，實際完成筆數計141萬9,531筆，目標達成度106.68﹪。</t>
  </si>
  <si>
    <t>七、建立航遙測感應器校正作業，蒐集分析國外校正方法、規劃建置校正場-布設控制與校正點，101年度完成航測校正場設置，102年度完成校正作業整合工作，提升校正標判斷解析力，精進校正平差方法，獲良好成效。
八、發展無人飛行載具UAV航拍技術作業，100年度購置無人飛行載具並進行航拍測試成功。101及102年度進行圖資更新及協助其他機關航拍作業，並投入緊急災害應變航拍任務，即時影像傳輸提供災害應變中心作最快速正確研判參考。</t>
  </si>
  <si>
    <t xml:space="preserve">一、本計畫檢測基本控制點1,396點、一等水準點正高檢測219點及設置永久測量標1,768點，經費全數執行完竣。
二、本計畫於101年度完成桃、竹、苗近岸海域面積140平方公里27幅五千分之一海域基本圖測量工作。
三、本年度各項工作均全數執行完竣：
(1)完成本年度地籍原圖掃描建檔作業共計1萬7,600幅。
</t>
  </si>
  <si>
    <t>(2)完成本年度地籍圖資料接合對位作業共計1,797地段。
(3)擴充加值地籍資料所需軟硬體設備。
(4)免費提供加值處理之地籍資料及開放「測繪圖資查詢系統」予中央政府機關使用，計156機關次完成簽訂測繪合作契約資料提供（含轉交下級機關），累計提供2億569萬5,730筆地籍資料及5,009個鄉鎮市區之土地段籍資料。</t>
  </si>
  <si>
    <t>一、行政院於102年4月15日核定本計畫，本部於同年6月25日召開補助案件審查會，並於同年7月12日核定各地方政府補助計畫，因地方政府需辦理納入預算、規劃設計及工程發包等作業，故執行率未達9成。
二、本部持續定期召開計畫控管會議，督促地方政府積極執行本計畫，並依期程進度辦理撥款作業，有效控管執行進度。
三、本計畫保留款2億2,957萬953元；計畫未分配數4,044萬2,000元因地方政府工程進度未達核定標準，故未核列補助款；另10件補助案件1,201萬6,000元因未及於年底發包故繳回補助款，上述金額共3億202萬8,953元占可支用預算數65.30％，致影響本期執行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</si>
</sst>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Red]#,##0"/>
    <numFmt numFmtId="178" formatCode="_-* #,##0_-;\-* #,##0_-;_-* &quot;-&quot;??_-;_-@_-"/>
    <numFmt numFmtId="179" formatCode="_(* #,##0.00_);_(* \(#,##0.00\);_(* &quot;-&quot;??_);_(@_)"/>
    <numFmt numFmtId="180" formatCode="#,##0.00_ "/>
    <numFmt numFmtId="181" formatCode="#,##0_);[Red]\(#,##0\)"/>
    <numFmt numFmtId="182" formatCode="0.00_);[Red]\(0.00\)"/>
    <numFmt numFmtId="183" formatCode="#,##0.00_);[Red]\(#,##0.00\)"/>
    <numFmt numFmtId="184" formatCode="_-* #,##0.00_-;\-* #,##0.00_-;_-* &quot;-&quot;_-;_-@_-"/>
    <numFmt numFmtId="185" formatCode="0.00_ "/>
    <numFmt numFmtId="186" formatCode="General_)"/>
    <numFmt numFmtId="187" formatCode="0.00_)"/>
    <numFmt numFmtId="188" formatCode="0_);[Red]\(0\)"/>
    <numFmt numFmtId="189" formatCode="&quot;Yes&quot;;&quot;Yes&quot;;&quot;No&quot;"/>
    <numFmt numFmtId="190" formatCode="&quot;True&quot;;&quot;True&quot;;&quot;False&quot;"/>
    <numFmt numFmtId="191" formatCode="&quot;On&quot;;&quot;On&quot;;&quot;Off&quot;"/>
  </numFmts>
  <fonts count="67">
    <font>
      <sz val="12"/>
      <name val="新細明體"/>
      <family val="1"/>
    </font>
    <font>
      <u val="single"/>
      <sz val="6"/>
      <color indexed="36"/>
      <name val="新細明體"/>
      <family val="1"/>
    </font>
    <font>
      <u val="single"/>
      <sz val="6"/>
      <color indexed="12"/>
      <name val="新細明體"/>
      <family val="1"/>
    </font>
    <font>
      <sz val="9"/>
      <name val="細明體"/>
      <family val="3"/>
    </font>
    <font>
      <sz val="12"/>
      <name val="Arial"/>
      <family val="2"/>
    </font>
    <font>
      <sz val="11"/>
      <name val="標楷體"/>
      <family val="4"/>
    </font>
    <font>
      <sz val="10"/>
      <name val="Arial"/>
      <family val="2"/>
    </font>
    <font>
      <sz val="10"/>
      <color indexed="8"/>
      <name val="標楷體"/>
      <family val="4"/>
    </font>
    <font>
      <sz val="11"/>
      <color indexed="8"/>
      <name val="標楷體"/>
      <family val="4"/>
    </font>
    <font>
      <sz val="12"/>
      <color indexed="8"/>
      <name val="新細明體"/>
      <family val="1"/>
    </font>
    <font>
      <sz val="11"/>
      <color indexed="8"/>
      <name val="Arial"/>
      <family val="2"/>
    </font>
    <font>
      <sz val="12"/>
      <color indexed="8"/>
      <name val="標楷體"/>
      <family val="4"/>
    </font>
    <font>
      <sz val="10"/>
      <name val="Helv"/>
      <family val="2"/>
    </font>
    <font>
      <sz val="11"/>
      <name val="Times New Roman"/>
      <family val="1"/>
    </font>
    <font>
      <sz val="12"/>
      <name val="Courier"/>
      <family val="3"/>
    </font>
    <font>
      <b/>
      <i/>
      <sz val="16"/>
      <name val="Helv"/>
      <family val="2"/>
    </font>
    <font>
      <sz val="12"/>
      <name val="Times New Roman"/>
      <family val="1"/>
    </font>
    <font>
      <sz val="9"/>
      <name val="新細明體"/>
      <family val="1"/>
    </font>
    <font>
      <b/>
      <sz val="12"/>
      <color indexed="63"/>
      <name val="Times New Roman"/>
      <family val="1"/>
    </font>
    <font>
      <sz val="12"/>
      <name val="細明體"/>
      <family val="3"/>
    </font>
    <font>
      <b/>
      <sz val="16"/>
      <name val="Arial"/>
      <family val="2"/>
    </font>
    <font>
      <b/>
      <sz val="16"/>
      <color indexed="8"/>
      <name val="Times New Roman"/>
      <family val="1"/>
    </font>
    <font>
      <sz val="16"/>
      <color indexed="8"/>
      <name val="Times New Roman"/>
      <family val="1"/>
    </font>
    <font>
      <sz val="18"/>
      <color indexed="8"/>
      <name val="Times New Roman"/>
      <family val="1"/>
    </font>
    <font>
      <sz val="18"/>
      <color indexed="8"/>
      <name val="標楷體"/>
      <family val="4"/>
    </font>
    <font>
      <sz val="12"/>
      <color indexed="8"/>
      <name val="Times New Roman"/>
      <family val="1"/>
    </font>
    <font>
      <sz val="16"/>
      <color indexed="8"/>
      <name val="標楷體"/>
      <family val="4"/>
    </font>
    <font>
      <sz val="12"/>
      <color indexed="8"/>
      <name val="Arial"/>
      <family val="2"/>
    </font>
    <font>
      <sz val="8"/>
      <color indexed="8"/>
      <name val="標楷體"/>
      <family val="4"/>
    </font>
    <font>
      <sz val="11"/>
      <color indexed="8"/>
      <name val="Times New Roman"/>
      <family val="1"/>
    </font>
    <font>
      <sz val="10"/>
      <color indexed="8"/>
      <name val="Times New Roman"/>
      <family val="1"/>
    </font>
    <font>
      <sz val="11"/>
      <name val="Arial"/>
      <family val="2"/>
    </font>
    <font>
      <sz val="11"/>
      <name val="新細明體"/>
      <family val="1"/>
    </font>
    <font>
      <sz val="11"/>
      <color indexed="10"/>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style="thin"/>
      <right style="thin"/>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style="medium"/>
      <top style="medium"/>
      <bottom>
        <color indexed="63"/>
      </bottom>
    </border>
    <border>
      <left style="thin"/>
      <right style="thin"/>
      <top style="medium"/>
      <bottom>
        <color indexed="63"/>
      </bottom>
    </border>
    <border>
      <left style="thin"/>
      <right style="thin"/>
      <top style="medium"/>
      <bottom style="thin"/>
    </border>
    <border>
      <left style="medium"/>
      <right style="thin"/>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38" fontId="13" fillId="0" borderId="0" applyBorder="0" applyAlignment="0">
      <protection/>
    </xf>
    <xf numFmtId="186" fontId="14" fillId="20" borderId="1" applyNumberFormat="0" applyFont="0" applyFill="0" applyBorder="0">
      <alignment horizontal="center" vertical="center"/>
      <protection/>
    </xf>
    <xf numFmtId="187" fontId="15" fillId="0" borderId="0">
      <alignment/>
      <protection/>
    </xf>
    <xf numFmtId="0" fontId="6" fillId="0" borderId="0">
      <alignment/>
      <protection/>
    </xf>
    <xf numFmtId="0" fontId="0" fillId="0" borderId="0">
      <alignment/>
      <protection/>
    </xf>
    <xf numFmtId="0" fontId="16" fillId="0" borderId="0">
      <alignment/>
      <protection/>
    </xf>
    <xf numFmtId="0" fontId="12" fillId="0" borderId="0">
      <alignment/>
      <protection/>
    </xf>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1" fontId="0" fillId="0" borderId="0" applyFont="0" applyFill="0" applyBorder="0" applyAlignment="0" applyProtection="0"/>
    <xf numFmtId="179" fontId="16" fillId="0" borderId="0" applyFont="0" applyFill="0" applyBorder="0" applyAlignment="0" applyProtection="0"/>
    <xf numFmtId="0" fontId="1" fillId="0" borderId="0" applyNumberFormat="0" applyFill="0" applyBorder="0" applyAlignment="0" applyProtection="0"/>
    <xf numFmtId="0" fontId="52" fillId="21" borderId="0" applyNumberFormat="0" applyBorder="0" applyAlignment="0" applyProtection="0"/>
    <xf numFmtId="0" fontId="53" fillId="0" borderId="2" applyNumberFormat="0" applyFill="0" applyAlignment="0" applyProtection="0"/>
    <xf numFmtId="0" fontId="54" fillId="22" borderId="0" applyNumberFormat="0" applyBorder="0" applyAlignment="0" applyProtection="0"/>
    <xf numFmtId="9" fontId="0" fillId="0" borderId="0" applyFont="0" applyFill="0" applyBorder="0" applyAlignment="0" applyProtection="0"/>
    <xf numFmtId="0" fontId="55"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6" fillId="0" borderId="0" applyFont="0" applyFill="0" applyBorder="0" applyAlignment="0" applyProtection="0"/>
    <xf numFmtId="0" fontId="56" fillId="0" borderId="4" applyNumberFormat="0" applyFill="0" applyAlignment="0" applyProtection="0"/>
    <xf numFmtId="0" fontId="0" fillId="24" borderId="5" applyNumberFormat="0" applyFont="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12" fillId="0" borderId="0">
      <alignment/>
      <protection/>
    </xf>
    <xf numFmtId="0" fontId="62" fillId="31" borderId="3" applyNumberFormat="0" applyAlignment="0" applyProtection="0"/>
    <xf numFmtId="0" fontId="63" fillId="23" borderId="9" applyNumberFormat="0" applyAlignment="0" applyProtection="0"/>
    <xf numFmtId="0" fontId="64" fillId="32" borderId="10" applyNumberFormat="0" applyAlignment="0" applyProtection="0"/>
    <xf numFmtId="0" fontId="65" fillId="33" borderId="0" applyNumberFormat="0" applyBorder="0" applyAlignment="0" applyProtection="0"/>
    <xf numFmtId="0" fontId="66" fillId="0" borderId="0" applyNumberFormat="0" applyFill="0" applyBorder="0" applyAlignment="0" applyProtection="0"/>
  </cellStyleXfs>
  <cellXfs count="165">
    <xf numFmtId="0" fontId="0" fillId="0" borderId="0" xfId="0" applyAlignment="1">
      <alignment/>
    </xf>
    <xf numFmtId="0" fontId="4" fillId="0" borderId="0" xfId="0" applyFont="1" applyAlignment="1">
      <alignment/>
    </xf>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vertical="center"/>
    </xf>
    <xf numFmtId="9" fontId="25" fillId="0" borderId="11" xfId="49" applyFont="1" applyBorder="1" applyAlignment="1">
      <alignment horizontal="center" vertical="center"/>
    </xf>
    <xf numFmtId="9" fontId="26" fillId="0" borderId="11" xfId="49" applyFont="1" applyBorder="1" applyAlignment="1">
      <alignment horizontal="right" vertical="center"/>
    </xf>
    <xf numFmtId="9" fontId="22" fillId="0" borderId="11" xfId="49" applyFont="1" applyBorder="1" applyAlignment="1">
      <alignment horizontal="left" vertical="center"/>
    </xf>
    <xf numFmtId="9" fontId="23" fillId="0" borderId="11" xfId="49"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11" fillId="0" borderId="0" xfId="0" applyFont="1" applyAlignment="1">
      <alignment horizontal="right" vertical="center"/>
    </xf>
    <xf numFmtId="0" fontId="27" fillId="0" borderId="0" xfId="0" applyFont="1" applyAlignment="1">
      <alignment/>
    </xf>
    <xf numFmtId="0" fontId="11" fillId="0" borderId="12" xfId="0" applyFont="1" applyFill="1" applyBorder="1" applyAlignment="1">
      <alignment horizontal="center" vertical="center" wrapText="1"/>
    </xf>
    <xf numFmtId="0" fontId="28" fillId="0" borderId="1" xfId="0" applyFont="1" applyBorder="1" applyAlignment="1">
      <alignment horizontal="center" vertical="top" wrapText="1"/>
    </xf>
    <xf numFmtId="176" fontId="8" fillId="0" borderId="13" xfId="0" applyNumberFormat="1" applyFont="1" applyFill="1" applyBorder="1" applyAlignment="1">
      <alignment horizontal="left" vertical="top" wrapText="1"/>
    </xf>
    <xf numFmtId="176" fontId="29" fillId="0" borderId="14" xfId="0" applyNumberFormat="1" applyFont="1" applyFill="1" applyBorder="1" applyAlignment="1">
      <alignment horizontal="right" vertical="top" wrapText="1"/>
    </xf>
    <xf numFmtId="4" fontId="29" fillId="0" borderId="14" xfId="0" applyNumberFormat="1" applyFont="1" applyFill="1" applyBorder="1" applyAlignment="1">
      <alignment vertical="top" wrapText="1"/>
    </xf>
    <xf numFmtId="183" fontId="29" fillId="0" borderId="14" xfId="0" applyNumberFormat="1" applyFont="1" applyFill="1" applyBorder="1" applyAlignment="1">
      <alignment vertical="top" wrapText="1"/>
    </xf>
    <xf numFmtId="0" fontId="8" fillId="0" borderId="15" xfId="0" applyFont="1" applyFill="1" applyBorder="1" applyAlignment="1">
      <alignment horizontal="center" vertical="top" wrapText="1"/>
    </xf>
    <xf numFmtId="0" fontId="29" fillId="0" borderId="16" xfId="0" applyFont="1" applyFill="1" applyBorder="1" applyAlignment="1">
      <alignment vertical="top" wrapText="1"/>
    </xf>
    <xf numFmtId="0" fontId="30" fillId="0" borderId="0" xfId="0" applyFont="1" applyFill="1" applyAlignment="1">
      <alignment vertical="top"/>
    </xf>
    <xf numFmtId="0" fontId="5" fillId="0" borderId="17" xfId="0" applyFont="1" applyBorder="1" applyAlignment="1">
      <alignment horizontal="left" vertical="top" wrapText="1"/>
    </xf>
    <xf numFmtId="41" fontId="13" fillId="0" borderId="18" xfId="0" applyNumberFormat="1" applyFont="1" applyFill="1" applyBorder="1" applyAlignment="1">
      <alignment horizontal="right" vertical="top" wrapText="1"/>
    </xf>
    <xf numFmtId="180" fontId="29" fillId="0" borderId="18" xfId="0" applyNumberFormat="1" applyFont="1" applyBorder="1" applyAlignment="1">
      <alignment horizontal="right" vertical="top" wrapText="1"/>
    </xf>
    <xf numFmtId="41" fontId="13" fillId="0" borderId="18" xfId="0" applyNumberFormat="1" applyFont="1" applyFill="1" applyBorder="1" applyAlignment="1">
      <alignment horizontal="right" vertical="top"/>
    </xf>
    <xf numFmtId="183" fontId="29" fillId="0" borderId="18" xfId="0" applyNumberFormat="1" applyFont="1" applyFill="1" applyBorder="1" applyAlignment="1">
      <alignment horizontal="right" vertical="top" wrapText="1"/>
    </xf>
    <xf numFmtId="0" fontId="5" fillId="0" borderId="18" xfId="0" applyFont="1" applyBorder="1" applyAlignment="1">
      <alignment horizontal="left" vertical="top" wrapText="1"/>
    </xf>
    <xf numFmtId="0" fontId="29" fillId="0" borderId="18" xfId="0" applyFont="1" applyBorder="1" applyAlignment="1">
      <alignment horizontal="right" vertical="top" wrapText="1"/>
    </xf>
    <xf numFmtId="0" fontId="8" fillId="0" borderId="18" xfId="0" applyFont="1" applyFill="1" applyBorder="1" applyAlignment="1">
      <alignment horizontal="left" vertical="top" wrapText="1"/>
    </xf>
    <xf numFmtId="176" fontId="5" fillId="0" borderId="17" xfId="0" applyNumberFormat="1" applyFont="1" applyFill="1" applyBorder="1" applyAlignment="1">
      <alignment horizontal="left" vertical="top" wrapText="1"/>
    </xf>
    <xf numFmtId="176" fontId="13" fillId="0" borderId="18" xfId="0" applyNumberFormat="1" applyFont="1" applyFill="1" applyBorder="1" applyAlignment="1">
      <alignment horizontal="right" vertical="top" wrapText="1"/>
    </xf>
    <xf numFmtId="182" fontId="13" fillId="0" borderId="18" xfId="0" applyNumberFormat="1" applyFont="1" applyFill="1" applyBorder="1" applyAlignment="1">
      <alignment horizontal="right" vertical="top" wrapText="1"/>
    </xf>
    <xf numFmtId="182" fontId="13" fillId="0" borderId="18" xfId="0" applyNumberFormat="1" applyFont="1" applyFill="1" applyBorder="1" applyAlignment="1">
      <alignment horizontal="right" vertical="top"/>
    </xf>
    <xf numFmtId="176" fontId="13" fillId="0" borderId="18" xfId="0" applyNumberFormat="1" applyFont="1" applyFill="1" applyBorder="1" applyAlignment="1">
      <alignment horizontal="right" vertical="top" shrinkToFit="1"/>
    </xf>
    <xf numFmtId="0" fontId="5" fillId="0" borderId="18" xfId="0" applyFont="1" applyFill="1" applyBorder="1" applyAlignment="1">
      <alignment vertical="top" wrapText="1"/>
    </xf>
    <xf numFmtId="0" fontId="5" fillId="0" borderId="18" xfId="0" applyFont="1" applyFill="1" applyBorder="1" applyAlignment="1">
      <alignment horizontal="right" vertical="top" wrapText="1"/>
    </xf>
    <xf numFmtId="0" fontId="4" fillId="0" borderId="0" xfId="0" applyFont="1" applyFill="1" applyBorder="1" applyAlignment="1">
      <alignment vertical="top"/>
    </xf>
    <xf numFmtId="184" fontId="13" fillId="0" borderId="18" xfId="43" applyNumberFormat="1" applyFont="1" applyBorder="1" applyAlignment="1">
      <alignment horizontal="right" vertical="top"/>
    </xf>
    <xf numFmtId="3" fontId="32" fillId="0" borderId="18" xfId="44" applyNumberFormat="1" applyFont="1" applyFill="1" applyBorder="1" applyAlignment="1" applyProtection="1">
      <alignment horizontal="right" vertical="top" wrapText="1"/>
      <protection locked="0"/>
    </xf>
    <xf numFmtId="183" fontId="13" fillId="0" borderId="18" xfId="44" applyNumberFormat="1" applyFont="1" applyFill="1" applyBorder="1" applyAlignment="1" applyProtection="1">
      <alignment horizontal="right" vertical="top" wrapText="1"/>
      <protection locked="0"/>
    </xf>
    <xf numFmtId="0" fontId="32" fillId="0" borderId="18" xfId="38" applyFont="1" applyFill="1" applyBorder="1" applyAlignment="1" applyProtection="1">
      <alignment vertical="top"/>
      <protection locked="0"/>
    </xf>
    <xf numFmtId="0" fontId="31" fillId="0" borderId="0" xfId="0" applyFont="1" applyFill="1" applyBorder="1" applyAlignment="1">
      <alignment vertical="top"/>
    </xf>
    <xf numFmtId="0" fontId="32" fillId="0" borderId="18" xfId="39" applyFont="1" applyFill="1" applyBorder="1" applyAlignment="1">
      <alignment horizontal="right" vertical="top" wrapText="1"/>
      <protection/>
    </xf>
    <xf numFmtId="0" fontId="5" fillId="0" borderId="18" xfId="0" applyFont="1" applyBorder="1" applyAlignment="1">
      <alignment horizontal="left" vertical="top" wrapText="1" shrinkToFit="1"/>
    </xf>
    <xf numFmtId="178" fontId="13" fillId="0" borderId="18" xfId="40" applyNumberFormat="1" applyFont="1" applyBorder="1" applyAlignment="1">
      <alignment horizontal="right" vertical="top" shrinkToFit="1"/>
    </xf>
    <xf numFmtId="178" fontId="13" fillId="0" borderId="18" xfId="40" applyNumberFormat="1" applyFont="1" applyFill="1" applyBorder="1" applyAlignment="1">
      <alignment horizontal="right" vertical="top" shrinkToFit="1"/>
    </xf>
    <xf numFmtId="184" fontId="13" fillId="0" borderId="18" xfId="43" applyNumberFormat="1" applyFont="1" applyBorder="1" applyAlignment="1">
      <alignment horizontal="right" vertical="top" shrinkToFit="1"/>
    </xf>
    <xf numFmtId="0" fontId="5" fillId="0" borderId="18" xfId="0" applyFont="1" applyBorder="1" applyAlignment="1">
      <alignment horizontal="right" vertical="top" shrinkToFit="1"/>
    </xf>
    <xf numFmtId="185" fontId="13" fillId="0" borderId="18" xfId="49" applyNumberFormat="1" applyFont="1" applyBorder="1" applyAlignment="1">
      <alignment horizontal="right" vertical="top" shrinkToFit="1"/>
    </xf>
    <xf numFmtId="0" fontId="5" fillId="0" borderId="0" xfId="0" applyFont="1" applyAlignment="1">
      <alignment horizontal="left" vertical="top" shrinkToFit="1"/>
    </xf>
    <xf numFmtId="10" fontId="13" fillId="0" borderId="18" xfId="49" applyNumberFormat="1" applyFont="1" applyBorder="1" applyAlignment="1">
      <alignment horizontal="right" vertical="top" shrinkToFit="1"/>
    </xf>
    <xf numFmtId="10" fontId="33" fillId="0" borderId="18" xfId="49" applyNumberFormat="1" applyFont="1" applyBorder="1" applyAlignment="1">
      <alignment horizontal="right" vertical="top" shrinkToFit="1"/>
    </xf>
    <xf numFmtId="177" fontId="13" fillId="0" borderId="18" xfId="0" applyNumberFormat="1" applyFont="1" applyBorder="1" applyAlignment="1">
      <alignment horizontal="right" vertical="top" shrinkToFit="1"/>
    </xf>
    <xf numFmtId="177" fontId="13" fillId="0" borderId="18" xfId="0" applyNumberFormat="1" applyFont="1" applyBorder="1" applyAlignment="1">
      <alignment horizontal="right" vertical="top" wrapText="1"/>
    </xf>
    <xf numFmtId="177" fontId="13" fillId="0" borderId="18" xfId="0" applyNumberFormat="1" applyFont="1" applyBorder="1" applyAlignment="1">
      <alignment horizontal="right" vertical="top"/>
    </xf>
    <xf numFmtId="41" fontId="13" fillId="0" borderId="18" xfId="0" applyNumberFormat="1" applyFont="1" applyBorder="1" applyAlignment="1">
      <alignment horizontal="right" vertical="top"/>
    </xf>
    <xf numFmtId="180" fontId="29" fillId="0" borderId="18" xfId="0" applyNumberFormat="1" applyFont="1" applyBorder="1" applyAlignment="1">
      <alignment horizontal="right" vertical="top"/>
    </xf>
    <xf numFmtId="0" fontId="5" fillId="0" borderId="17" xfId="0" applyFont="1" applyFill="1" applyBorder="1" applyAlignment="1">
      <alignment horizontal="left" vertical="top" wrapText="1"/>
    </xf>
    <xf numFmtId="180" fontId="29" fillId="0" borderId="18" xfId="0" applyNumberFormat="1" applyFont="1" applyFill="1" applyBorder="1" applyAlignment="1">
      <alignment horizontal="right" vertical="top" wrapText="1"/>
    </xf>
    <xf numFmtId="0" fontId="8" fillId="0" borderId="18" xfId="0" applyFont="1" applyFill="1" applyBorder="1" applyAlignment="1">
      <alignment horizontal="right" vertical="top"/>
    </xf>
    <xf numFmtId="0" fontId="5" fillId="0" borderId="18" xfId="0" applyFont="1" applyFill="1" applyBorder="1" applyAlignment="1">
      <alignment horizontal="center" vertical="top" wrapText="1"/>
    </xf>
    <xf numFmtId="0" fontId="4" fillId="0" borderId="0" xfId="0" applyFont="1" applyFill="1" applyAlignment="1">
      <alignment vertical="top"/>
    </xf>
    <xf numFmtId="41" fontId="13" fillId="0" borderId="18" xfId="43" applyFont="1" applyFill="1" applyBorder="1" applyAlignment="1">
      <alignment horizontal="right" vertical="top" wrapText="1"/>
    </xf>
    <xf numFmtId="41" fontId="13" fillId="0" borderId="18" xfId="43" applyFont="1" applyFill="1" applyBorder="1" applyAlignment="1">
      <alignment horizontal="right" vertical="top"/>
    </xf>
    <xf numFmtId="184" fontId="13" fillId="0" borderId="18" xfId="43" applyNumberFormat="1" applyFont="1" applyFill="1" applyBorder="1" applyAlignment="1">
      <alignment horizontal="right" vertical="top"/>
    </xf>
    <xf numFmtId="0" fontId="5" fillId="0" borderId="18" xfId="0" applyFont="1" applyFill="1" applyBorder="1" applyAlignment="1">
      <alignment horizontal="right" vertical="top" shrinkToFit="1"/>
    </xf>
    <xf numFmtId="0" fontId="5" fillId="0" borderId="18" xfId="0" applyFont="1" applyFill="1" applyBorder="1" applyAlignment="1">
      <alignment horizontal="left" vertical="top" wrapText="1" shrinkToFit="1"/>
    </xf>
    <xf numFmtId="0" fontId="5" fillId="0" borderId="0" xfId="0" applyFont="1" applyFill="1" applyAlignment="1">
      <alignment horizontal="left" vertical="top" shrinkToFit="1"/>
    </xf>
    <xf numFmtId="43" fontId="13" fillId="0" borderId="18" xfId="0" applyNumberFormat="1" applyFont="1" applyFill="1" applyBorder="1" applyAlignment="1">
      <alignment horizontal="right" vertical="top"/>
    </xf>
    <xf numFmtId="0" fontId="5" fillId="0" borderId="19"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shrinkToFit="1"/>
    </xf>
    <xf numFmtId="0" fontId="5" fillId="0" borderId="18" xfId="0" applyFont="1" applyFill="1" applyBorder="1" applyAlignment="1">
      <alignment horizontal="left" vertical="top" wrapText="1"/>
    </xf>
    <xf numFmtId="0" fontId="27" fillId="0" borderId="0" xfId="0" applyFont="1" applyFill="1" applyAlignment="1">
      <alignment vertical="top"/>
    </xf>
    <xf numFmtId="0" fontId="19" fillId="0" borderId="0" xfId="0" applyFont="1" applyFill="1" applyAlignment="1">
      <alignment vertical="top" wrapText="1"/>
    </xf>
    <xf numFmtId="0" fontId="31" fillId="0" borderId="0" xfId="0" applyFont="1" applyFill="1" applyAlignment="1">
      <alignment vertical="top" wrapText="1"/>
    </xf>
    <xf numFmtId="0" fontId="5" fillId="0" borderId="0" xfId="0" applyFont="1" applyFill="1" applyAlignment="1">
      <alignment horizontal="left" vertical="top" wrapText="1" shrinkToFit="1"/>
    </xf>
    <xf numFmtId="177" fontId="13" fillId="0" borderId="18" xfId="0" applyNumberFormat="1" applyFont="1" applyFill="1" applyBorder="1" applyAlignment="1">
      <alignment horizontal="right" vertical="top"/>
    </xf>
    <xf numFmtId="180" fontId="29" fillId="0" borderId="18" xfId="0" applyNumberFormat="1" applyFont="1" applyFill="1" applyBorder="1" applyAlignment="1">
      <alignment horizontal="right" vertical="top"/>
    </xf>
    <xf numFmtId="0" fontId="5" fillId="0" borderId="20" xfId="0" applyFont="1" applyFill="1" applyBorder="1" applyAlignment="1">
      <alignment horizontal="left" vertical="top" wrapText="1"/>
    </xf>
    <xf numFmtId="41" fontId="13" fillId="0" borderId="12" xfId="0" applyNumberFormat="1" applyFont="1" applyFill="1" applyBorder="1" applyAlignment="1">
      <alignment horizontal="right" vertical="top" wrapText="1"/>
    </xf>
    <xf numFmtId="180" fontId="29" fillId="0" borderId="12" xfId="0" applyNumberFormat="1" applyFont="1" applyFill="1" applyBorder="1" applyAlignment="1">
      <alignment horizontal="right" vertical="top" wrapText="1"/>
    </xf>
    <xf numFmtId="41" fontId="13" fillId="0" borderId="12" xfId="0" applyNumberFormat="1" applyFont="1" applyFill="1" applyBorder="1" applyAlignment="1">
      <alignment horizontal="right" vertical="top"/>
    </xf>
    <xf numFmtId="183" fontId="29" fillId="0" borderId="12" xfId="0" applyNumberFormat="1" applyFont="1" applyFill="1" applyBorder="1" applyAlignment="1">
      <alignment horizontal="right" vertical="top" wrapText="1"/>
    </xf>
    <xf numFmtId="0" fontId="5" fillId="0" borderId="12" xfId="0" applyFont="1" applyFill="1" applyBorder="1" applyAlignment="1">
      <alignment horizontal="center" vertical="top" wrapText="1"/>
    </xf>
    <xf numFmtId="0" fontId="5" fillId="0" borderId="21" xfId="0" applyNumberFormat="1" applyFont="1" applyFill="1" applyBorder="1" applyAlignment="1">
      <alignment horizontal="left" vertical="top" wrapText="1"/>
    </xf>
    <xf numFmtId="41" fontId="13" fillId="0" borderId="12" xfId="43" applyFont="1" applyFill="1" applyBorder="1" applyAlignment="1">
      <alignment horizontal="right" vertical="top" wrapText="1"/>
    </xf>
    <xf numFmtId="41" fontId="13" fillId="0" borderId="12" xfId="43" applyFont="1" applyFill="1" applyBorder="1" applyAlignment="1">
      <alignment horizontal="right" vertical="top"/>
    </xf>
    <xf numFmtId="184" fontId="13" fillId="0" borderId="12" xfId="43" applyNumberFormat="1" applyFont="1" applyFill="1" applyBorder="1" applyAlignment="1">
      <alignment horizontal="right" vertical="top"/>
    </xf>
    <xf numFmtId="3" fontId="32" fillId="0" borderId="12" xfId="44" applyNumberFormat="1" applyFont="1" applyFill="1" applyBorder="1" applyAlignment="1" applyProtection="1">
      <alignment horizontal="right" vertical="top" wrapText="1"/>
      <protection locked="0"/>
    </xf>
    <xf numFmtId="183" fontId="13" fillId="0" borderId="12" xfId="44" applyNumberFormat="1" applyFont="1" applyFill="1" applyBorder="1" applyAlignment="1" applyProtection="1">
      <alignment horizontal="right" vertical="top" wrapText="1"/>
      <protection locked="0"/>
    </xf>
    <xf numFmtId="0" fontId="32" fillId="0" borderId="12" xfId="38" applyFont="1" applyFill="1" applyBorder="1" applyAlignment="1" applyProtection="1">
      <alignment vertical="top"/>
      <protection locked="0"/>
    </xf>
    <xf numFmtId="0" fontId="8" fillId="0" borderId="17" xfId="0" applyFont="1" applyFill="1" applyBorder="1" applyAlignment="1">
      <alignment horizontal="left" vertical="top" wrapText="1"/>
    </xf>
    <xf numFmtId="41" fontId="29" fillId="20" borderId="18" xfId="0" applyNumberFormat="1" applyFont="1" applyFill="1" applyBorder="1" applyAlignment="1">
      <alignment horizontal="right" vertical="top" wrapText="1"/>
    </xf>
    <xf numFmtId="41" fontId="29" fillId="0" borderId="18" xfId="0" applyNumberFormat="1" applyFont="1" applyFill="1" applyBorder="1" applyAlignment="1">
      <alignment horizontal="right" vertical="top" wrapText="1"/>
    </xf>
    <xf numFmtId="41" fontId="29" fillId="0" borderId="18" xfId="0" applyNumberFormat="1" applyFont="1" applyFill="1" applyBorder="1" applyAlignment="1">
      <alignment horizontal="right" vertical="top"/>
    </xf>
    <xf numFmtId="43" fontId="29" fillId="0" borderId="18" xfId="0" applyNumberFormat="1" applyFont="1" applyFill="1" applyBorder="1" applyAlignment="1">
      <alignment horizontal="right" vertical="top"/>
    </xf>
    <xf numFmtId="182" fontId="29" fillId="0" borderId="18" xfId="0" applyNumberFormat="1" applyFont="1" applyFill="1" applyBorder="1" applyAlignment="1">
      <alignment horizontal="right" vertical="top"/>
    </xf>
    <xf numFmtId="0" fontId="4" fillId="0" borderId="22" xfId="0" applyFont="1" applyBorder="1" applyAlignment="1">
      <alignment/>
    </xf>
    <xf numFmtId="0" fontId="4" fillId="0" borderId="0" xfId="0" applyFont="1" applyBorder="1" applyAlignment="1">
      <alignment/>
    </xf>
    <xf numFmtId="0" fontId="4" fillId="0" borderId="23" xfId="0" applyFont="1" applyBorder="1" applyAlignment="1">
      <alignment/>
    </xf>
    <xf numFmtId="0" fontId="4" fillId="0" borderId="18" xfId="0" applyFont="1" applyBorder="1" applyAlignment="1">
      <alignment/>
    </xf>
    <xf numFmtId="0" fontId="8" fillId="0" borderId="12" xfId="0" applyFont="1" applyFill="1" applyBorder="1" applyAlignment="1">
      <alignment horizontal="left" vertical="top" wrapText="1"/>
    </xf>
    <xf numFmtId="41" fontId="29" fillId="0" borderId="12" xfId="0" applyNumberFormat="1" applyFont="1" applyFill="1" applyBorder="1" applyAlignment="1">
      <alignment horizontal="right" vertical="top"/>
    </xf>
    <xf numFmtId="0" fontId="4" fillId="0" borderId="24" xfId="0" applyFont="1" applyBorder="1" applyAlignment="1">
      <alignment/>
    </xf>
    <xf numFmtId="0" fontId="4" fillId="0" borderId="25" xfId="0" applyFont="1" applyBorder="1" applyAlignment="1">
      <alignment/>
    </xf>
    <xf numFmtId="41" fontId="13" fillId="0" borderId="18" xfId="43" applyFont="1" applyBorder="1" applyAlignment="1">
      <alignment horizontal="right" vertical="top" wrapText="1"/>
    </xf>
    <xf numFmtId="41" fontId="13" fillId="0" borderId="18" xfId="43" applyFont="1" applyBorder="1" applyAlignment="1">
      <alignment horizontal="right" vertical="top"/>
    </xf>
    <xf numFmtId="181" fontId="13" fillId="0" borderId="18" xfId="40" applyNumberFormat="1" applyFont="1" applyFill="1" applyBorder="1" applyAlignment="1">
      <alignment horizontal="right" vertical="top"/>
    </xf>
    <xf numFmtId="185" fontId="13" fillId="0" borderId="18" xfId="44" applyNumberFormat="1" applyFont="1" applyFill="1" applyBorder="1" applyAlignment="1" applyProtection="1">
      <alignment horizontal="right" vertical="top"/>
      <protection locked="0"/>
    </xf>
    <xf numFmtId="182" fontId="13" fillId="0" borderId="18" xfId="39" applyNumberFormat="1" applyFont="1" applyFill="1" applyBorder="1" applyAlignment="1">
      <alignment horizontal="right" vertical="top" wrapText="1"/>
      <protection/>
    </xf>
    <xf numFmtId="181" fontId="13" fillId="0" borderId="18" xfId="39" applyNumberFormat="1" applyFont="1" applyFill="1" applyBorder="1" applyAlignment="1">
      <alignment horizontal="right" vertical="top" wrapText="1"/>
      <protection/>
    </xf>
    <xf numFmtId="188" fontId="13" fillId="0" borderId="18" xfId="39" applyNumberFormat="1" applyFont="1" applyFill="1" applyBorder="1" applyAlignment="1">
      <alignment horizontal="right" vertical="top" wrapText="1"/>
      <protection/>
    </xf>
    <xf numFmtId="41" fontId="13" fillId="0" borderId="24" xfId="0" applyNumberFormat="1" applyFont="1" applyFill="1" applyBorder="1" applyAlignment="1">
      <alignment horizontal="right" vertical="top" wrapText="1"/>
    </xf>
    <xf numFmtId="41" fontId="13" fillId="0" borderId="25" xfId="0" applyNumberFormat="1" applyFont="1" applyFill="1" applyBorder="1" applyAlignment="1">
      <alignment horizontal="right" vertical="top" wrapText="1"/>
    </xf>
    <xf numFmtId="41" fontId="13" fillId="0" borderId="25" xfId="0" applyNumberFormat="1" applyFont="1" applyFill="1" applyBorder="1" applyAlignment="1">
      <alignment horizontal="right" vertical="top"/>
    </xf>
    <xf numFmtId="41" fontId="13" fillId="0" borderId="18" xfId="0" applyNumberFormat="1" applyFont="1" applyFill="1" applyBorder="1" applyAlignment="1">
      <alignment horizontal="right" vertical="top" shrinkToFit="1"/>
    </xf>
    <xf numFmtId="0" fontId="8" fillId="0" borderId="19" xfId="0" applyNumberFormat="1" applyFont="1" applyFill="1" applyBorder="1" applyAlignment="1">
      <alignment horizontal="left" vertical="top" wrapText="1"/>
    </xf>
    <xf numFmtId="0" fontId="5" fillId="0" borderId="12" xfId="0" applyFont="1" applyFill="1" applyBorder="1" applyAlignment="1">
      <alignment horizontal="left" vertical="top" wrapText="1"/>
    </xf>
    <xf numFmtId="0" fontId="8" fillId="0" borderId="12" xfId="0" applyFont="1" applyFill="1" applyBorder="1" applyAlignment="1">
      <alignment horizontal="right" vertical="top"/>
    </xf>
    <xf numFmtId="0" fontId="8" fillId="0" borderId="18" xfId="0" applyFont="1" applyFill="1" applyBorder="1" applyAlignment="1">
      <alignment vertical="top" wrapText="1"/>
    </xf>
    <xf numFmtId="0" fontId="19" fillId="0" borderId="0" xfId="0" applyFont="1" applyFill="1" applyAlignment="1">
      <alignment vertical="top"/>
    </xf>
    <xf numFmtId="41" fontId="29" fillId="0" borderId="12" xfId="0" applyNumberFormat="1" applyFont="1" applyFill="1" applyBorder="1" applyAlignment="1">
      <alignment horizontal="right" vertical="top" wrapText="1"/>
    </xf>
    <xf numFmtId="0" fontId="4" fillId="0" borderId="26" xfId="0" applyFont="1" applyBorder="1" applyAlignment="1">
      <alignment/>
    </xf>
    <xf numFmtId="0" fontId="4" fillId="0" borderId="12"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8" fillId="0" borderId="3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0" borderId="3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32" xfId="0" applyFont="1" applyBorder="1" applyAlignment="1">
      <alignment horizontal="center" vertical="center"/>
    </xf>
    <xf numFmtId="0" fontId="27" fillId="0" borderId="32" xfId="0" applyFont="1" applyBorder="1" applyAlignment="1">
      <alignment horizontal="center" vertical="center"/>
    </xf>
    <xf numFmtId="0" fontId="11"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8" fillId="0" borderId="32" xfId="0" applyFont="1" applyBorder="1" applyAlignment="1">
      <alignment horizontal="center" vertical="center"/>
    </xf>
    <xf numFmtId="0" fontId="9" fillId="0" borderId="32" xfId="0" applyFont="1" applyBorder="1" applyAlignment="1">
      <alignment horizontal="center" vertical="center"/>
    </xf>
    <xf numFmtId="0" fontId="27" fillId="0" borderId="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1" xfId="0" applyFont="1" applyFill="1" applyBorder="1" applyAlignment="1">
      <alignment horizontal="center" vertical="justify" wrapText="1"/>
    </xf>
    <xf numFmtId="0" fontId="9" fillId="0" borderId="1" xfId="0" applyFont="1" applyBorder="1" applyAlignment="1">
      <alignment horizontal="center"/>
    </xf>
    <xf numFmtId="0" fontId="8" fillId="0" borderId="3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2" xfId="0" applyFont="1" applyBorder="1" applyAlignment="1">
      <alignment horizontal="center" vertical="center"/>
    </xf>
    <xf numFmtId="0" fontId="27" fillId="0" borderId="12" xfId="0" applyFont="1" applyBorder="1" applyAlignment="1">
      <alignment horizontal="center" vertical="center" wrapText="1"/>
    </xf>
    <xf numFmtId="0" fontId="27" fillId="0" borderId="32" xfId="0" applyFont="1" applyBorder="1" applyAlignment="1">
      <alignment horizontal="center" vertical="center" wrapText="1"/>
    </xf>
    <xf numFmtId="0" fontId="11" fillId="0" borderId="14" xfId="0" applyFont="1" applyFill="1" applyBorder="1" applyAlignment="1">
      <alignment horizontal="center" vertical="center" wrapText="1"/>
    </xf>
    <xf numFmtId="0" fontId="11" fillId="0" borderId="14" xfId="0" applyFont="1" applyBorder="1" applyAlignment="1">
      <alignment horizontal="center" vertical="center" wrapText="1"/>
    </xf>
  </cellXfs>
  <cellStyles count="6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_1歲出決算用途別科目分析表" xfId="38"/>
    <cellStyle name="一般_980203-重大計畫執行等-彙整版 (1)" xfId="39"/>
    <cellStyle name="Comma" xfId="40"/>
    <cellStyle name="千分位 2" xfId="41"/>
    <cellStyle name="千分位 3" xfId="42"/>
    <cellStyle name="Comma [0]" xfId="43"/>
    <cellStyle name="千分位_1歲出決算用途別科目分析表" xfId="44"/>
    <cellStyle name="Followed Hyperlink" xfId="45"/>
    <cellStyle name="中等" xfId="46"/>
    <cellStyle name="合計" xfId="47"/>
    <cellStyle name="好" xfId="48"/>
    <cellStyle name="Percent" xfId="49"/>
    <cellStyle name="計算方式" xfId="50"/>
    <cellStyle name="Currency" xfId="51"/>
    <cellStyle name="Currency [0]" xfId="52"/>
    <cellStyle name="貨幣[0]_Apply" xfId="53"/>
    <cellStyle name="連結的儲存格" xfId="54"/>
    <cellStyle name="備註" xfId="55"/>
    <cellStyle name="Hyperlink"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樣式 1" xfId="69"/>
    <cellStyle name="輸入" xfId="70"/>
    <cellStyle name="輸出" xfId="71"/>
    <cellStyle name="檢查儲存格" xfId="72"/>
    <cellStyle name="壞" xfId="73"/>
    <cellStyle name="警告文字"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27;&#31649;&#27770;&#31639;-&#38515;\94&#24180;&#24230;\94&#20027;&#31649;&#27770;&#316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來源別決算表"/>
      <sheetName val="歲出政事別決算表"/>
      <sheetName val="歲出機關別決算表"/>
      <sheetName val="以前年度歲入來源別轉入數決算表"/>
      <sheetName val="以前年度歲出政事別轉入數"/>
      <sheetName val="以前年度歲出機關別轉入數"/>
      <sheetName val="歲入類平衡表"/>
      <sheetName val="經費類平衡表"/>
      <sheetName val="歲入類現金出納表"/>
      <sheetName val="經費類現金出納表"/>
      <sheetName val="歲入結存"/>
      <sheetName val="專戶存款"/>
      <sheetName val="應收歲入款明細表"/>
      <sheetName val="應收歲入保留款明細表"/>
      <sheetName val="應付歲出款明細表"/>
      <sheetName val="應付歲出保留款明細表"/>
      <sheetName val="材料"/>
      <sheetName val="押金"/>
      <sheetName val="預收款"/>
      <sheetName val="暫收款"/>
      <sheetName val="暫付款"/>
      <sheetName val="保管款"/>
      <sheetName val="代收款"/>
      <sheetName val="有價證券"/>
      <sheetName val="保管有價證券"/>
      <sheetName val="歲入類待納庫款明細表"/>
      <sheetName val="經費類經費賸餘明細表"/>
      <sheetName val="因擔保保證或契約造成未來年度支出"/>
      <sheetName val="投資目錄"/>
      <sheetName val="歲出決算用途別科目分析表"/>
      <sheetName val="歲出按職能"/>
      <sheetName val="補助及捐助經費彙計表"/>
      <sheetName val="重大績效"/>
      <sheetName val="投資效益評估"/>
      <sheetName val="財團法人效益評估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1"/>
  <sheetViews>
    <sheetView tabSelected="1" view="pageBreakPreview" zoomScale="67" zoomScaleSheetLayoutView="67" zoomScalePageLayoutView="0" workbookViewId="0" topLeftCell="A1">
      <pane xSplit="1" ySplit="6" topLeftCell="B37" activePane="bottomRight" state="frozen"/>
      <selection pane="topLeft" activeCell="A1" sqref="A1"/>
      <selection pane="topRight" activeCell="B1" sqref="B1"/>
      <selection pane="bottomLeft" activeCell="A7" sqref="A7"/>
      <selection pane="bottomRight" activeCell="D39" sqref="D39"/>
    </sheetView>
  </sheetViews>
  <sheetFormatPr defaultColWidth="9.00390625" defaultRowHeight="16.5"/>
  <cols>
    <col min="1" max="1" width="15.25390625" style="1" customWidth="1"/>
    <col min="2" max="2" width="14.125" style="1" customWidth="1"/>
    <col min="3" max="3" width="12.75390625" style="1" customWidth="1"/>
    <col min="4" max="4" width="9.375" style="1" customWidth="1"/>
    <col min="5" max="7" width="10.625" style="1" customWidth="1"/>
    <col min="8" max="8" width="8.50390625" style="1" customWidth="1"/>
    <col min="9" max="9" width="9.00390625" style="1" customWidth="1"/>
    <col min="10" max="11" width="10.625" style="1" customWidth="1"/>
    <col min="12" max="12" width="8.625" style="1" customWidth="1"/>
    <col min="13" max="13" width="8.50390625" style="1" customWidth="1"/>
    <col min="14" max="14" width="10.25390625" style="1" customWidth="1"/>
    <col min="15" max="15" width="7.50390625" style="1" customWidth="1"/>
    <col min="16" max="16" width="6.25390625" style="1" customWidth="1"/>
    <col min="17" max="17" width="7.00390625" style="1" customWidth="1"/>
    <col min="18" max="18" width="7.25390625" style="1" customWidth="1"/>
    <col min="19" max="21" width="8.25390625" style="1" customWidth="1"/>
    <col min="22" max="22" width="7.875" style="1" customWidth="1"/>
    <col min="23" max="23" width="23.50390625" style="1" customWidth="1"/>
    <col min="24" max="25" width="7.125" style="1" customWidth="1"/>
    <col min="26" max="26" width="7.625" style="1" customWidth="1"/>
    <col min="27" max="27" width="7.125" style="1" customWidth="1"/>
    <col min="28" max="28" width="19.00390625" style="1" customWidth="1"/>
    <col min="29" max="29" width="20.50390625" style="1" customWidth="1"/>
    <col min="30" max="30" width="33.375" style="1" customWidth="1"/>
    <col min="31" max="16384" width="9.00390625" style="1" customWidth="1"/>
  </cols>
  <sheetData>
    <row r="1" spans="1:29" s="10" customFormat="1" ht="34.5" customHeight="1">
      <c r="A1" s="5"/>
      <c r="B1" s="5"/>
      <c r="C1" s="5"/>
      <c r="D1" s="5"/>
      <c r="E1" s="5"/>
      <c r="F1" s="5"/>
      <c r="G1" s="5"/>
      <c r="H1" s="5"/>
      <c r="I1" s="5"/>
      <c r="J1" s="5"/>
      <c r="K1" s="5"/>
      <c r="L1" s="5"/>
      <c r="M1" s="6"/>
      <c r="N1" s="7" t="s">
        <v>7</v>
      </c>
      <c r="O1" s="8" t="s">
        <v>8</v>
      </c>
      <c r="P1" s="9"/>
      <c r="Q1" s="6"/>
      <c r="R1" s="5"/>
      <c r="S1" s="5"/>
      <c r="T1" s="5"/>
      <c r="U1" s="5"/>
      <c r="V1" s="5"/>
      <c r="W1" s="5"/>
      <c r="X1" s="5"/>
      <c r="Y1" s="5"/>
      <c r="Z1" s="5"/>
      <c r="AA1" s="5"/>
      <c r="AB1" s="5"/>
      <c r="AC1" s="5"/>
    </row>
    <row r="2" spans="1:29" s="10" customFormat="1" ht="34.5" customHeight="1">
      <c r="A2" s="5"/>
      <c r="B2" s="5"/>
      <c r="C2" s="5"/>
      <c r="D2" s="5"/>
      <c r="E2" s="5"/>
      <c r="F2" s="5"/>
      <c r="G2" s="5"/>
      <c r="H2" s="5"/>
      <c r="I2" s="5"/>
      <c r="J2" s="5"/>
      <c r="K2" s="5"/>
      <c r="L2" s="5"/>
      <c r="M2" s="6"/>
      <c r="N2" s="7" t="s">
        <v>9</v>
      </c>
      <c r="O2" s="8" t="s">
        <v>10</v>
      </c>
      <c r="P2" s="9"/>
      <c r="Q2" s="6"/>
      <c r="R2" s="5"/>
      <c r="S2" s="5"/>
      <c r="T2" s="5"/>
      <c r="U2" s="5"/>
      <c r="V2" s="5"/>
      <c r="W2" s="5"/>
      <c r="X2" s="5"/>
      <c r="Y2" s="5"/>
      <c r="Z2" s="5"/>
      <c r="AA2" s="5"/>
      <c r="AB2" s="5"/>
      <c r="AC2" s="5"/>
    </row>
    <row r="3" spans="1:29" s="16" customFormat="1" ht="34.5" customHeight="1" thickBot="1">
      <c r="A3" s="11"/>
      <c r="B3" s="11"/>
      <c r="C3" s="11"/>
      <c r="D3" s="11"/>
      <c r="E3" s="11"/>
      <c r="F3" s="11"/>
      <c r="G3" s="11"/>
      <c r="H3" s="11"/>
      <c r="I3" s="11"/>
      <c r="J3" s="11"/>
      <c r="K3" s="11"/>
      <c r="L3" s="11"/>
      <c r="M3" s="11"/>
      <c r="N3" s="12" t="s">
        <v>11</v>
      </c>
      <c r="O3" s="13" t="s">
        <v>67</v>
      </c>
      <c r="P3" s="14"/>
      <c r="Q3" s="11"/>
      <c r="R3" s="11"/>
      <c r="S3" s="11"/>
      <c r="T3" s="11"/>
      <c r="U3" s="11"/>
      <c r="V3" s="11"/>
      <c r="W3" s="11"/>
      <c r="X3" s="15"/>
      <c r="Y3" s="15"/>
      <c r="Z3" s="15"/>
      <c r="AA3" s="15"/>
      <c r="AC3" s="17" t="s">
        <v>12</v>
      </c>
    </row>
    <row r="4" spans="1:29" s="18" customFormat="1" ht="37.5" customHeight="1">
      <c r="A4" s="155" t="s">
        <v>13</v>
      </c>
      <c r="B4" s="158" t="s">
        <v>14</v>
      </c>
      <c r="C4" s="158" t="s">
        <v>15</v>
      </c>
      <c r="D4" s="149" t="s">
        <v>16</v>
      </c>
      <c r="E4" s="162"/>
      <c r="F4" s="162"/>
      <c r="G4" s="142" t="s">
        <v>17</v>
      </c>
      <c r="H4" s="143"/>
      <c r="I4" s="143"/>
      <c r="J4" s="143"/>
      <c r="K4" s="143"/>
      <c r="L4" s="143"/>
      <c r="M4" s="143"/>
      <c r="N4" s="143"/>
      <c r="O4" s="149" t="s">
        <v>18</v>
      </c>
      <c r="P4" s="143"/>
      <c r="Q4" s="147"/>
      <c r="R4" s="147"/>
      <c r="S4" s="147"/>
      <c r="T4" s="147"/>
      <c r="U4" s="147"/>
      <c r="V4" s="147"/>
      <c r="W4" s="152" t="s">
        <v>19</v>
      </c>
      <c r="X4" s="146" t="s">
        <v>0</v>
      </c>
      <c r="Y4" s="147"/>
      <c r="Z4" s="147"/>
      <c r="AA4" s="147"/>
      <c r="AB4" s="139" t="s">
        <v>20</v>
      </c>
      <c r="AC4" s="134" t="s">
        <v>21</v>
      </c>
    </row>
    <row r="5" spans="1:29" s="18" customFormat="1" ht="50.25" customHeight="1">
      <c r="A5" s="156"/>
      <c r="B5" s="159"/>
      <c r="C5" s="159"/>
      <c r="D5" s="163" t="s">
        <v>22</v>
      </c>
      <c r="E5" s="163" t="s">
        <v>23</v>
      </c>
      <c r="F5" s="164" t="s">
        <v>24</v>
      </c>
      <c r="G5" s="144" t="s">
        <v>25</v>
      </c>
      <c r="H5" s="148"/>
      <c r="I5" s="148"/>
      <c r="J5" s="148"/>
      <c r="K5" s="144" t="s">
        <v>26</v>
      </c>
      <c r="L5" s="145"/>
      <c r="M5" s="145"/>
      <c r="N5" s="145"/>
      <c r="O5" s="150" t="s">
        <v>27</v>
      </c>
      <c r="P5" s="151"/>
      <c r="Q5" s="151"/>
      <c r="R5" s="151"/>
      <c r="S5" s="150" t="s">
        <v>28</v>
      </c>
      <c r="T5" s="151"/>
      <c r="U5" s="151"/>
      <c r="V5" s="151"/>
      <c r="W5" s="153"/>
      <c r="X5" s="137" t="s">
        <v>1</v>
      </c>
      <c r="Y5" s="138"/>
      <c r="Z5" s="137" t="s">
        <v>2</v>
      </c>
      <c r="AA5" s="138"/>
      <c r="AB5" s="140"/>
      <c r="AC5" s="135"/>
    </row>
    <row r="6" spans="1:29" s="18" customFormat="1" ht="69.75" customHeight="1">
      <c r="A6" s="157"/>
      <c r="B6" s="160"/>
      <c r="C6" s="161"/>
      <c r="D6" s="161"/>
      <c r="E6" s="161"/>
      <c r="F6" s="161"/>
      <c r="G6" s="19" t="s">
        <v>29</v>
      </c>
      <c r="H6" s="4" t="s">
        <v>30</v>
      </c>
      <c r="I6" s="4" t="s">
        <v>31</v>
      </c>
      <c r="J6" s="4" t="s">
        <v>24</v>
      </c>
      <c r="K6" s="4" t="s">
        <v>29</v>
      </c>
      <c r="L6" s="4" t="s">
        <v>30</v>
      </c>
      <c r="M6" s="19" t="s">
        <v>31</v>
      </c>
      <c r="N6" s="4" t="s">
        <v>24</v>
      </c>
      <c r="O6" s="20" t="s">
        <v>32</v>
      </c>
      <c r="P6" s="20" t="s">
        <v>33</v>
      </c>
      <c r="Q6" s="20" t="s">
        <v>34</v>
      </c>
      <c r="R6" s="2" t="s">
        <v>3</v>
      </c>
      <c r="S6" s="20" t="s">
        <v>35</v>
      </c>
      <c r="T6" s="20" t="s">
        <v>36</v>
      </c>
      <c r="U6" s="20" t="s">
        <v>37</v>
      </c>
      <c r="V6" s="2" t="s">
        <v>3</v>
      </c>
      <c r="W6" s="154"/>
      <c r="X6" s="3" t="s">
        <v>38</v>
      </c>
      <c r="Y6" s="3" t="s">
        <v>39</v>
      </c>
      <c r="Z6" s="3" t="s">
        <v>38</v>
      </c>
      <c r="AA6" s="3" t="s">
        <v>39</v>
      </c>
      <c r="AB6" s="141"/>
      <c r="AC6" s="136"/>
    </row>
    <row r="7" spans="1:29" s="27" customFormat="1" ht="24" customHeight="1">
      <c r="A7" s="21" t="s">
        <v>40</v>
      </c>
      <c r="B7" s="22"/>
      <c r="C7" s="22"/>
      <c r="D7" s="22"/>
      <c r="E7" s="22"/>
      <c r="F7" s="22"/>
      <c r="G7" s="22"/>
      <c r="H7" s="22"/>
      <c r="I7" s="22"/>
      <c r="J7" s="22"/>
      <c r="K7" s="22"/>
      <c r="L7" s="22"/>
      <c r="M7" s="22"/>
      <c r="N7" s="22"/>
      <c r="O7" s="23"/>
      <c r="P7" s="23"/>
      <c r="Q7" s="23"/>
      <c r="R7" s="23"/>
      <c r="S7" s="24"/>
      <c r="T7" s="23"/>
      <c r="U7" s="23"/>
      <c r="V7" s="23"/>
      <c r="W7" s="23"/>
      <c r="X7" s="24"/>
      <c r="Y7" s="24"/>
      <c r="Z7" s="24"/>
      <c r="AA7" s="24"/>
      <c r="AB7" s="25"/>
      <c r="AC7" s="26"/>
    </row>
    <row r="8" spans="1:29" s="68" customFormat="1" ht="54.75" customHeight="1">
      <c r="A8" s="64" t="s">
        <v>68</v>
      </c>
      <c r="B8" s="29">
        <v>500</v>
      </c>
      <c r="C8" s="29">
        <v>500</v>
      </c>
      <c r="D8" s="31" t="s">
        <v>4</v>
      </c>
      <c r="E8" s="29">
        <v>500</v>
      </c>
      <c r="F8" s="29">
        <f aca="true" t="shared" si="0" ref="F8:F20">SUM(D8:E8)</f>
        <v>500</v>
      </c>
      <c r="G8" s="29">
        <v>500</v>
      </c>
      <c r="H8" s="31">
        <v>0</v>
      </c>
      <c r="I8" s="31">
        <v>0</v>
      </c>
      <c r="J8" s="29">
        <f>SUM(G8:I8)</f>
        <v>500</v>
      </c>
      <c r="K8" s="29">
        <v>500</v>
      </c>
      <c r="L8" s="31">
        <v>0</v>
      </c>
      <c r="M8" s="31">
        <v>0</v>
      </c>
      <c r="N8" s="29">
        <f>SUM(K8:M8)</f>
        <v>500</v>
      </c>
      <c r="O8" s="65">
        <f aca="true" t="shared" si="1" ref="O8:O14">G8/F8*100</f>
        <v>100</v>
      </c>
      <c r="P8" s="31">
        <f aca="true" t="shared" si="2" ref="P8:P22">H8/F8*100</f>
        <v>0</v>
      </c>
      <c r="Q8" s="31">
        <f aca="true" t="shared" si="3" ref="Q8:Q15">I8/F8*100</f>
        <v>0</v>
      </c>
      <c r="R8" s="65">
        <f aca="true" t="shared" si="4" ref="R8:R20">SUM(O8:Q8)</f>
        <v>100</v>
      </c>
      <c r="S8" s="32">
        <f aca="true" t="shared" si="5" ref="S8:S20">K8/C8*100</f>
        <v>100</v>
      </c>
      <c r="T8" s="31">
        <f aca="true" t="shared" si="6" ref="T8:T22">L8/C8*100</f>
        <v>0</v>
      </c>
      <c r="U8" s="31">
        <f aca="true" t="shared" si="7" ref="U8:U22">M8/C8*100</f>
        <v>0</v>
      </c>
      <c r="V8" s="32">
        <f aca="true" t="shared" si="8" ref="V8:V19">SUM(S8:U8)</f>
        <v>100</v>
      </c>
      <c r="W8" s="66"/>
      <c r="X8" s="32">
        <v>100</v>
      </c>
      <c r="Y8" s="32">
        <v>100</v>
      </c>
      <c r="Z8" s="32">
        <v>100</v>
      </c>
      <c r="AA8" s="32">
        <v>100</v>
      </c>
      <c r="AB8" s="67"/>
      <c r="AC8" s="76" t="s">
        <v>66</v>
      </c>
    </row>
    <row r="9" spans="1:30" s="68" customFormat="1" ht="30.75" customHeight="1">
      <c r="A9" s="64" t="s">
        <v>69</v>
      </c>
      <c r="B9" s="29">
        <v>1200</v>
      </c>
      <c r="C9" s="29">
        <v>300</v>
      </c>
      <c r="D9" s="31">
        <v>0</v>
      </c>
      <c r="E9" s="29">
        <v>300</v>
      </c>
      <c r="F9" s="29">
        <f t="shared" si="0"/>
        <v>300</v>
      </c>
      <c r="G9" s="29">
        <v>300</v>
      </c>
      <c r="H9" s="31">
        <v>0</v>
      </c>
      <c r="I9" s="31">
        <v>0</v>
      </c>
      <c r="J9" s="29">
        <f>SUM(G9:I9)</f>
        <v>300</v>
      </c>
      <c r="K9" s="29">
        <v>300</v>
      </c>
      <c r="L9" s="31">
        <v>0</v>
      </c>
      <c r="M9" s="31">
        <v>0</v>
      </c>
      <c r="N9" s="29">
        <f>SUM(K9:M9)</f>
        <v>300</v>
      </c>
      <c r="O9" s="65">
        <f t="shared" si="1"/>
        <v>100</v>
      </c>
      <c r="P9" s="31">
        <f t="shared" si="2"/>
        <v>0</v>
      </c>
      <c r="Q9" s="31">
        <f t="shared" si="3"/>
        <v>0</v>
      </c>
      <c r="R9" s="65">
        <f t="shared" si="4"/>
        <v>100</v>
      </c>
      <c r="S9" s="32">
        <f t="shared" si="5"/>
        <v>100</v>
      </c>
      <c r="T9" s="31">
        <f t="shared" si="6"/>
        <v>0</v>
      </c>
      <c r="U9" s="31">
        <f t="shared" si="7"/>
        <v>0</v>
      </c>
      <c r="V9" s="32">
        <f t="shared" si="8"/>
        <v>100</v>
      </c>
      <c r="W9" s="66"/>
      <c r="X9" s="32">
        <v>30</v>
      </c>
      <c r="Y9" s="32">
        <v>100</v>
      </c>
      <c r="Z9" s="32">
        <v>30</v>
      </c>
      <c r="AA9" s="32">
        <v>100</v>
      </c>
      <c r="AB9" s="67"/>
      <c r="AC9" s="76" t="s">
        <v>5</v>
      </c>
      <c r="AD9" s="81"/>
    </row>
    <row r="10" spans="1:29" s="68" customFormat="1" ht="75.75" customHeight="1">
      <c r="A10" s="64" t="s">
        <v>43</v>
      </c>
      <c r="B10" s="29">
        <v>2550</v>
      </c>
      <c r="C10" s="29">
        <v>2550</v>
      </c>
      <c r="D10" s="31">
        <v>0</v>
      </c>
      <c r="E10" s="29">
        <v>2550</v>
      </c>
      <c r="F10" s="29">
        <f t="shared" si="0"/>
        <v>2550</v>
      </c>
      <c r="G10" s="29">
        <v>2550</v>
      </c>
      <c r="H10" s="31">
        <v>0</v>
      </c>
      <c r="I10" s="31">
        <v>0</v>
      </c>
      <c r="J10" s="29">
        <f>SUM(G10:I10)</f>
        <v>2550</v>
      </c>
      <c r="K10" s="29">
        <v>2550</v>
      </c>
      <c r="L10" s="31">
        <v>0</v>
      </c>
      <c r="M10" s="31">
        <v>0</v>
      </c>
      <c r="N10" s="29">
        <f>SUM(K10:M10)</f>
        <v>2550</v>
      </c>
      <c r="O10" s="65">
        <f t="shared" si="1"/>
        <v>100</v>
      </c>
      <c r="P10" s="31">
        <f t="shared" si="2"/>
        <v>0</v>
      </c>
      <c r="Q10" s="31">
        <f t="shared" si="3"/>
        <v>0</v>
      </c>
      <c r="R10" s="65">
        <f t="shared" si="4"/>
        <v>100</v>
      </c>
      <c r="S10" s="32">
        <f t="shared" si="5"/>
        <v>100</v>
      </c>
      <c r="T10" s="31">
        <f t="shared" si="6"/>
        <v>0</v>
      </c>
      <c r="U10" s="31">
        <f t="shared" si="7"/>
        <v>0</v>
      </c>
      <c r="V10" s="32">
        <f t="shared" si="8"/>
        <v>100</v>
      </c>
      <c r="W10" s="66"/>
      <c r="X10" s="32">
        <v>100</v>
      </c>
      <c r="Y10" s="32">
        <v>100</v>
      </c>
      <c r="Z10" s="32">
        <v>100</v>
      </c>
      <c r="AA10" s="32">
        <v>100</v>
      </c>
      <c r="AB10" s="67"/>
      <c r="AC10" s="76" t="s">
        <v>63</v>
      </c>
    </row>
    <row r="11" spans="1:29" s="68" customFormat="1" ht="42" customHeight="1">
      <c r="A11" s="64" t="s">
        <v>70</v>
      </c>
      <c r="B11" s="29">
        <v>3900</v>
      </c>
      <c r="C11" s="29">
        <v>3900</v>
      </c>
      <c r="D11" s="31">
        <v>0</v>
      </c>
      <c r="E11" s="29">
        <v>3900</v>
      </c>
      <c r="F11" s="29">
        <f t="shared" si="0"/>
        <v>3900</v>
      </c>
      <c r="G11" s="29">
        <v>3900</v>
      </c>
      <c r="H11" s="31">
        <v>0</v>
      </c>
      <c r="I11" s="31">
        <v>0</v>
      </c>
      <c r="J11" s="29">
        <f>SUM(G11:I11)</f>
        <v>3900</v>
      </c>
      <c r="K11" s="29">
        <v>3900</v>
      </c>
      <c r="L11" s="31">
        <v>0</v>
      </c>
      <c r="M11" s="31">
        <v>0</v>
      </c>
      <c r="N11" s="29">
        <f>SUM(K11:M11)</f>
        <v>3900</v>
      </c>
      <c r="O11" s="65">
        <f t="shared" si="1"/>
        <v>100</v>
      </c>
      <c r="P11" s="31">
        <f t="shared" si="2"/>
        <v>0</v>
      </c>
      <c r="Q11" s="31">
        <f t="shared" si="3"/>
        <v>0</v>
      </c>
      <c r="R11" s="65">
        <f t="shared" si="4"/>
        <v>100</v>
      </c>
      <c r="S11" s="32">
        <f t="shared" si="5"/>
        <v>100</v>
      </c>
      <c r="T11" s="31">
        <f t="shared" si="6"/>
        <v>0</v>
      </c>
      <c r="U11" s="31">
        <f t="shared" si="7"/>
        <v>0</v>
      </c>
      <c r="V11" s="32">
        <f t="shared" si="8"/>
        <v>100</v>
      </c>
      <c r="W11" s="66"/>
      <c r="X11" s="32">
        <v>100</v>
      </c>
      <c r="Y11" s="32">
        <v>100</v>
      </c>
      <c r="Z11" s="32">
        <v>100</v>
      </c>
      <c r="AA11" s="32">
        <v>100</v>
      </c>
      <c r="AB11" s="67"/>
      <c r="AC11" s="76" t="s">
        <v>62</v>
      </c>
    </row>
    <row r="12" spans="1:29" s="68" customFormat="1" ht="60.75" customHeight="1">
      <c r="A12" s="64" t="s">
        <v>71</v>
      </c>
      <c r="B12" s="29">
        <v>700</v>
      </c>
      <c r="C12" s="29">
        <v>700</v>
      </c>
      <c r="D12" s="31">
        <v>0</v>
      </c>
      <c r="E12" s="29">
        <v>700</v>
      </c>
      <c r="F12" s="29">
        <f t="shared" si="0"/>
        <v>700</v>
      </c>
      <c r="G12" s="29">
        <v>700</v>
      </c>
      <c r="H12" s="31">
        <v>0</v>
      </c>
      <c r="I12" s="31">
        <v>0</v>
      </c>
      <c r="J12" s="29">
        <f>SUM(G12:I12)</f>
        <v>700</v>
      </c>
      <c r="K12" s="29">
        <v>700</v>
      </c>
      <c r="L12" s="31">
        <v>0</v>
      </c>
      <c r="M12" s="31">
        <v>0</v>
      </c>
      <c r="N12" s="29">
        <f>SUM(K12:M12)</f>
        <v>700</v>
      </c>
      <c r="O12" s="65">
        <f t="shared" si="1"/>
        <v>100</v>
      </c>
      <c r="P12" s="31">
        <f t="shared" si="2"/>
        <v>0</v>
      </c>
      <c r="Q12" s="31">
        <f t="shared" si="3"/>
        <v>0</v>
      </c>
      <c r="R12" s="65">
        <f t="shared" si="4"/>
        <v>100</v>
      </c>
      <c r="S12" s="32">
        <f t="shared" si="5"/>
        <v>100</v>
      </c>
      <c r="T12" s="31">
        <f t="shared" si="6"/>
        <v>0</v>
      </c>
      <c r="U12" s="31">
        <f t="shared" si="7"/>
        <v>0</v>
      </c>
      <c r="V12" s="32">
        <f t="shared" si="8"/>
        <v>100</v>
      </c>
      <c r="W12" s="66"/>
      <c r="X12" s="32">
        <v>100</v>
      </c>
      <c r="Y12" s="32">
        <v>100</v>
      </c>
      <c r="Z12" s="32">
        <v>100</v>
      </c>
      <c r="AA12" s="32">
        <v>100</v>
      </c>
      <c r="AB12" s="67"/>
      <c r="AC12" s="76" t="s">
        <v>62</v>
      </c>
    </row>
    <row r="13" spans="1:30" s="68" customFormat="1" ht="45.75" customHeight="1">
      <c r="A13" s="64" t="s">
        <v>65</v>
      </c>
      <c r="B13" s="29">
        <v>947268</v>
      </c>
      <c r="C13" s="29">
        <v>947268</v>
      </c>
      <c r="D13" s="29">
        <v>14806</v>
      </c>
      <c r="E13" s="29">
        <v>0</v>
      </c>
      <c r="F13" s="29">
        <f t="shared" si="0"/>
        <v>14806</v>
      </c>
      <c r="G13" s="29">
        <v>14806</v>
      </c>
      <c r="H13" s="31">
        <v>0</v>
      </c>
      <c r="I13" s="29">
        <v>0</v>
      </c>
      <c r="J13" s="29">
        <f aca="true" t="shared" si="9" ref="J13:J19">SUM(G13:I13)</f>
        <v>14806</v>
      </c>
      <c r="K13" s="29">
        <f>743995+121361+14806</f>
        <v>880162</v>
      </c>
      <c r="L13" s="31">
        <v>0</v>
      </c>
      <c r="M13" s="29">
        <f>65330+1776</f>
        <v>67106</v>
      </c>
      <c r="N13" s="29">
        <f aca="true" t="shared" si="10" ref="N13:N19">SUM(K13:M13)</f>
        <v>947268</v>
      </c>
      <c r="O13" s="65">
        <f t="shared" si="1"/>
        <v>100</v>
      </c>
      <c r="P13" s="31">
        <f t="shared" si="2"/>
        <v>0</v>
      </c>
      <c r="Q13" s="31">
        <f t="shared" si="3"/>
        <v>0</v>
      </c>
      <c r="R13" s="65">
        <f t="shared" si="4"/>
        <v>100</v>
      </c>
      <c r="S13" s="32">
        <f t="shared" si="5"/>
        <v>92.91583796771347</v>
      </c>
      <c r="T13" s="31">
        <f t="shared" si="6"/>
        <v>0</v>
      </c>
      <c r="U13" s="32">
        <f t="shared" si="7"/>
        <v>7.0841620322865335</v>
      </c>
      <c r="V13" s="32">
        <f t="shared" si="8"/>
        <v>100</v>
      </c>
      <c r="W13" s="35"/>
      <c r="X13" s="32">
        <v>100</v>
      </c>
      <c r="Y13" s="32">
        <v>100</v>
      </c>
      <c r="Z13" s="32">
        <v>100</v>
      </c>
      <c r="AA13" s="32">
        <v>100</v>
      </c>
      <c r="AB13" s="67"/>
      <c r="AC13" s="76" t="s">
        <v>62</v>
      </c>
      <c r="AD13" s="80" t="s">
        <v>64</v>
      </c>
    </row>
    <row r="14" spans="1:30" s="68" customFormat="1" ht="325.5" customHeight="1">
      <c r="A14" s="64" t="s">
        <v>72</v>
      </c>
      <c r="B14" s="29">
        <v>480210</v>
      </c>
      <c r="C14" s="29">
        <v>99370</v>
      </c>
      <c r="D14" s="29">
        <v>0</v>
      </c>
      <c r="E14" s="29">
        <v>99370</v>
      </c>
      <c r="F14" s="29">
        <f t="shared" si="0"/>
        <v>99370</v>
      </c>
      <c r="G14" s="29">
        <v>60506</v>
      </c>
      <c r="H14" s="29">
        <v>0</v>
      </c>
      <c r="I14" s="29">
        <v>29538</v>
      </c>
      <c r="J14" s="29">
        <f t="shared" si="9"/>
        <v>90044</v>
      </c>
      <c r="K14" s="29">
        <v>60506</v>
      </c>
      <c r="L14" s="29">
        <v>0</v>
      </c>
      <c r="M14" s="29">
        <v>29538</v>
      </c>
      <c r="N14" s="29">
        <f t="shared" si="10"/>
        <v>90044</v>
      </c>
      <c r="O14" s="65">
        <f t="shared" si="1"/>
        <v>60.88960450840294</v>
      </c>
      <c r="P14" s="31">
        <f t="shared" si="2"/>
        <v>0</v>
      </c>
      <c r="Q14" s="32">
        <f t="shared" si="3"/>
        <v>29.725269195934384</v>
      </c>
      <c r="R14" s="65">
        <f t="shared" si="4"/>
        <v>90.61487370433733</v>
      </c>
      <c r="S14" s="32">
        <f t="shared" si="5"/>
        <v>60.88960450840294</v>
      </c>
      <c r="T14" s="31">
        <f t="shared" si="6"/>
        <v>0</v>
      </c>
      <c r="U14" s="32">
        <f t="shared" si="7"/>
        <v>29.725269195934384</v>
      </c>
      <c r="V14" s="32">
        <f t="shared" si="8"/>
        <v>90.61487370433733</v>
      </c>
      <c r="W14" s="35" t="s">
        <v>73</v>
      </c>
      <c r="X14" s="32">
        <v>25</v>
      </c>
      <c r="Y14" s="32">
        <v>100</v>
      </c>
      <c r="Z14" s="32">
        <v>22.65</v>
      </c>
      <c r="AA14" s="32">
        <v>90.61</v>
      </c>
      <c r="AB14" s="78" t="s">
        <v>74</v>
      </c>
      <c r="AC14" s="76" t="s">
        <v>75</v>
      </c>
      <c r="AD14" s="80"/>
    </row>
    <row r="15" spans="1:30" s="68" customFormat="1" ht="402" customHeight="1">
      <c r="A15" s="85" t="s">
        <v>76</v>
      </c>
      <c r="B15" s="86">
        <v>2000000</v>
      </c>
      <c r="C15" s="86">
        <v>462552</v>
      </c>
      <c r="D15" s="86">
        <v>0</v>
      </c>
      <c r="E15" s="86">
        <v>462552</v>
      </c>
      <c r="F15" s="86">
        <f>SUM(D15:E15)</f>
        <v>462552</v>
      </c>
      <c r="G15" s="86">
        <v>134299</v>
      </c>
      <c r="H15" s="88">
        <v>0</v>
      </c>
      <c r="I15" s="88">
        <v>78682</v>
      </c>
      <c r="J15" s="86">
        <f t="shared" si="9"/>
        <v>212981</v>
      </c>
      <c r="K15" s="86">
        <v>134299</v>
      </c>
      <c r="L15" s="88">
        <v>0</v>
      </c>
      <c r="M15" s="86">
        <v>78682</v>
      </c>
      <c r="N15" s="86">
        <f t="shared" si="10"/>
        <v>212981</v>
      </c>
      <c r="O15" s="87">
        <f aca="true" t="shared" si="11" ref="O15:O22">G15/F15*100</f>
        <v>29.03435721821547</v>
      </c>
      <c r="P15" s="88">
        <f t="shared" si="2"/>
        <v>0</v>
      </c>
      <c r="Q15" s="87">
        <f t="shared" si="3"/>
        <v>17.01041180234871</v>
      </c>
      <c r="R15" s="87">
        <f t="shared" si="4"/>
        <v>46.044769020564175</v>
      </c>
      <c r="S15" s="89">
        <f t="shared" si="5"/>
        <v>29.03435721821547</v>
      </c>
      <c r="T15" s="88">
        <f t="shared" si="6"/>
        <v>0</v>
      </c>
      <c r="U15" s="89">
        <f t="shared" si="7"/>
        <v>17.01041180234871</v>
      </c>
      <c r="V15" s="89">
        <f t="shared" si="8"/>
        <v>46.044769020564175</v>
      </c>
      <c r="W15" s="108" t="s">
        <v>101</v>
      </c>
      <c r="X15" s="89">
        <v>25</v>
      </c>
      <c r="Y15" s="89">
        <v>100</v>
      </c>
      <c r="Z15" s="89">
        <v>6</v>
      </c>
      <c r="AA15" s="89">
        <v>29</v>
      </c>
      <c r="AB15" s="124" t="s">
        <v>77</v>
      </c>
      <c r="AC15" s="91" t="s">
        <v>78</v>
      </c>
      <c r="AD15" s="80" t="s">
        <v>61</v>
      </c>
    </row>
    <row r="16" spans="1:30" s="68" customFormat="1" ht="64.5" customHeight="1">
      <c r="A16" s="64" t="s">
        <v>44</v>
      </c>
      <c r="B16" s="29">
        <v>1300</v>
      </c>
      <c r="C16" s="119">
        <v>1300</v>
      </c>
      <c r="D16" s="31">
        <v>0</v>
      </c>
      <c r="E16" s="120">
        <v>1300</v>
      </c>
      <c r="F16" s="29">
        <f t="shared" si="0"/>
        <v>1300</v>
      </c>
      <c r="G16" s="119">
        <v>1300</v>
      </c>
      <c r="H16" s="31">
        <v>0</v>
      </c>
      <c r="I16" s="121">
        <v>0</v>
      </c>
      <c r="J16" s="120">
        <f t="shared" si="9"/>
        <v>1300</v>
      </c>
      <c r="K16" s="119">
        <v>1300</v>
      </c>
      <c r="L16" s="31">
        <v>0</v>
      </c>
      <c r="M16" s="121">
        <v>0</v>
      </c>
      <c r="N16" s="120">
        <f t="shared" si="10"/>
        <v>1300</v>
      </c>
      <c r="O16" s="65">
        <f t="shared" si="11"/>
        <v>100</v>
      </c>
      <c r="P16" s="31">
        <f t="shared" si="2"/>
        <v>0</v>
      </c>
      <c r="Q16" s="31">
        <f aca="true" t="shared" si="12" ref="Q16:Q22">I16/F16*100</f>
        <v>0</v>
      </c>
      <c r="R16" s="65">
        <f t="shared" si="4"/>
        <v>100</v>
      </c>
      <c r="S16" s="32">
        <f t="shared" si="5"/>
        <v>100</v>
      </c>
      <c r="T16" s="31">
        <f t="shared" si="6"/>
        <v>0</v>
      </c>
      <c r="U16" s="31">
        <f t="shared" si="7"/>
        <v>0</v>
      </c>
      <c r="V16" s="32">
        <f t="shared" si="8"/>
        <v>100</v>
      </c>
      <c r="W16" s="66"/>
      <c r="X16" s="32">
        <v>100</v>
      </c>
      <c r="Y16" s="32">
        <v>100</v>
      </c>
      <c r="Z16" s="32">
        <v>100</v>
      </c>
      <c r="AA16" s="32">
        <v>100</v>
      </c>
      <c r="AB16" s="67"/>
      <c r="AC16" s="76" t="s">
        <v>62</v>
      </c>
      <c r="AD16" s="80" t="s">
        <v>61</v>
      </c>
    </row>
    <row r="17" spans="1:29" s="68" customFormat="1" ht="44.25" customHeight="1">
      <c r="A17" s="64" t="s">
        <v>59</v>
      </c>
      <c r="B17" s="29">
        <v>240630</v>
      </c>
      <c r="C17" s="29">
        <f>146088+94542</f>
        <v>240630</v>
      </c>
      <c r="D17" s="29">
        <v>49635</v>
      </c>
      <c r="E17" s="29">
        <v>94542</v>
      </c>
      <c r="F17" s="29">
        <f t="shared" si="0"/>
        <v>144177</v>
      </c>
      <c r="G17" s="29">
        <v>130550</v>
      </c>
      <c r="H17" s="29">
        <v>13627</v>
      </c>
      <c r="I17" s="31">
        <v>0</v>
      </c>
      <c r="J17" s="29">
        <f t="shared" si="9"/>
        <v>144177</v>
      </c>
      <c r="K17" s="29">
        <f>96453+130550</f>
        <v>227003</v>
      </c>
      <c r="L17" s="29">
        <f>13627</f>
        <v>13627</v>
      </c>
      <c r="M17" s="31">
        <v>0</v>
      </c>
      <c r="N17" s="29">
        <f t="shared" si="10"/>
        <v>240630</v>
      </c>
      <c r="O17" s="65">
        <f t="shared" si="11"/>
        <v>90.54842311880536</v>
      </c>
      <c r="P17" s="65">
        <f t="shared" si="2"/>
        <v>9.451576881194642</v>
      </c>
      <c r="Q17" s="31">
        <f>I17/F17*100</f>
        <v>0</v>
      </c>
      <c r="R17" s="65">
        <f t="shared" si="4"/>
        <v>100</v>
      </c>
      <c r="S17" s="32">
        <f t="shared" si="5"/>
        <v>94.33694884262145</v>
      </c>
      <c r="T17" s="32">
        <f t="shared" si="6"/>
        <v>5.663051157378548</v>
      </c>
      <c r="U17" s="31">
        <f t="shared" si="7"/>
        <v>0</v>
      </c>
      <c r="V17" s="32">
        <f t="shared" si="8"/>
        <v>100</v>
      </c>
      <c r="W17" s="126"/>
      <c r="X17" s="32">
        <v>100</v>
      </c>
      <c r="Y17" s="32">
        <v>100</v>
      </c>
      <c r="Z17" s="32">
        <v>100</v>
      </c>
      <c r="AA17" s="32">
        <v>100</v>
      </c>
      <c r="AB17" s="67"/>
      <c r="AC17" s="76" t="s">
        <v>62</v>
      </c>
    </row>
    <row r="18" spans="1:30" s="68" customFormat="1" ht="39.75" customHeight="1">
      <c r="A18" s="64" t="s">
        <v>58</v>
      </c>
      <c r="B18" s="29">
        <v>2015780</v>
      </c>
      <c r="C18" s="29">
        <v>2015780</v>
      </c>
      <c r="D18" s="31">
        <v>0</v>
      </c>
      <c r="E18" s="29">
        <v>2015780</v>
      </c>
      <c r="F18" s="29">
        <f t="shared" si="0"/>
        <v>2015780</v>
      </c>
      <c r="G18" s="29">
        <v>2015780</v>
      </c>
      <c r="H18" s="31">
        <v>0</v>
      </c>
      <c r="I18" s="29">
        <v>0</v>
      </c>
      <c r="J18" s="29">
        <f t="shared" si="9"/>
        <v>2015780</v>
      </c>
      <c r="K18" s="29">
        <v>2015780</v>
      </c>
      <c r="L18" s="31">
        <v>0</v>
      </c>
      <c r="M18" s="29">
        <v>0</v>
      </c>
      <c r="N18" s="29">
        <f t="shared" si="10"/>
        <v>2015780</v>
      </c>
      <c r="O18" s="65">
        <f t="shared" si="11"/>
        <v>100</v>
      </c>
      <c r="P18" s="31">
        <f t="shared" si="2"/>
        <v>0</v>
      </c>
      <c r="Q18" s="75">
        <f t="shared" si="12"/>
        <v>0</v>
      </c>
      <c r="R18" s="65">
        <f>SUM(O18:Q18)</f>
        <v>100</v>
      </c>
      <c r="S18" s="32">
        <f>K18/C18*100</f>
        <v>100</v>
      </c>
      <c r="T18" s="31">
        <f t="shared" si="6"/>
        <v>0</v>
      </c>
      <c r="U18" s="31">
        <f t="shared" si="7"/>
        <v>0</v>
      </c>
      <c r="V18" s="32">
        <f t="shared" si="8"/>
        <v>100</v>
      </c>
      <c r="W18" s="66"/>
      <c r="X18" s="32">
        <v>100</v>
      </c>
      <c r="Y18" s="32">
        <v>100</v>
      </c>
      <c r="Z18" s="32">
        <v>100</v>
      </c>
      <c r="AA18" s="32">
        <v>100</v>
      </c>
      <c r="AB18" s="67"/>
      <c r="AC18" s="76" t="s">
        <v>62</v>
      </c>
      <c r="AD18" s="80" t="s">
        <v>61</v>
      </c>
    </row>
    <row r="19" spans="1:30" s="68" customFormat="1" ht="48.75" customHeight="1">
      <c r="A19" s="64" t="s">
        <v>45</v>
      </c>
      <c r="B19" s="29">
        <v>250000</v>
      </c>
      <c r="C19" s="29">
        <v>250000</v>
      </c>
      <c r="D19" s="31">
        <v>0</v>
      </c>
      <c r="E19" s="29">
        <v>250000</v>
      </c>
      <c r="F19" s="29">
        <f t="shared" si="0"/>
        <v>250000</v>
      </c>
      <c r="G19" s="29">
        <v>250000</v>
      </c>
      <c r="H19" s="31">
        <v>0</v>
      </c>
      <c r="I19" s="29">
        <v>0</v>
      </c>
      <c r="J19" s="29">
        <f t="shared" si="9"/>
        <v>250000</v>
      </c>
      <c r="K19" s="29">
        <v>250000</v>
      </c>
      <c r="L19" s="31">
        <v>0</v>
      </c>
      <c r="M19" s="29">
        <v>0</v>
      </c>
      <c r="N19" s="29">
        <f t="shared" si="10"/>
        <v>250000</v>
      </c>
      <c r="O19" s="65">
        <f t="shared" si="11"/>
        <v>100</v>
      </c>
      <c r="P19" s="31">
        <f t="shared" si="2"/>
        <v>0</v>
      </c>
      <c r="Q19" s="75">
        <f t="shared" si="12"/>
        <v>0</v>
      </c>
      <c r="R19" s="65">
        <f>SUM(O19:Q19)</f>
        <v>100</v>
      </c>
      <c r="S19" s="32">
        <f>K19/C19*100</f>
        <v>100</v>
      </c>
      <c r="T19" s="31">
        <f t="shared" si="6"/>
        <v>0</v>
      </c>
      <c r="U19" s="31">
        <f t="shared" si="7"/>
        <v>0</v>
      </c>
      <c r="V19" s="32">
        <f t="shared" si="8"/>
        <v>100</v>
      </c>
      <c r="W19" s="66"/>
      <c r="X19" s="32">
        <v>100</v>
      </c>
      <c r="Y19" s="32">
        <v>100</v>
      </c>
      <c r="Z19" s="32">
        <v>100</v>
      </c>
      <c r="AA19" s="32">
        <v>100</v>
      </c>
      <c r="AB19" s="67"/>
      <c r="AC19" s="76" t="s">
        <v>62</v>
      </c>
      <c r="AD19" s="80" t="s">
        <v>61</v>
      </c>
    </row>
    <row r="20" spans="1:29" s="68" customFormat="1" ht="349.5" customHeight="1">
      <c r="A20" s="64" t="s">
        <v>55</v>
      </c>
      <c r="B20" s="59">
        <v>1300000</v>
      </c>
      <c r="C20" s="60">
        <v>1053895</v>
      </c>
      <c r="D20" s="29">
        <v>134305</v>
      </c>
      <c r="E20" s="61">
        <v>0</v>
      </c>
      <c r="F20" s="29">
        <f t="shared" si="0"/>
        <v>134305</v>
      </c>
      <c r="G20" s="61">
        <v>109877</v>
      </c>
      <c r="H20" s="62">
        <v>0</v>
      </c>
      <c r="I20" s="29">
        <v>3438</v>
      </c>
      <c r="J20" s="29">
        <f aca="true" t="shared" si="13" ref="J20:J28">SUM(G20:I20)</f>
        <v>113315</v>
      </c>
      <c r="K20" s="83">
        <f>623508+70012+109877</f>
        <v>803397</v>
      </c>
      <c r="L20" s="62">
        <v>0</v>
      </c>
      <c r="M20" s="29">
        <f>162500+4288+3438</f>
        <v>170226</v>
      </c>
      <c r="N20" s="29">
        <f aca="true" t="shared" si="14" ref="N20:N31">SUM(K20:M20)</f>
        <v>973623</v>
      </c>
      <c r="O20" s="65">
        <f t="shared" si="11"/>
        <v>81.8115483414616</v>
      </c>
      <c r="P20" s="31">
        <f t="shared" si="2"/>
        <v>0</v>
      </c>
      <c r="Q20" s="65">
        <f t="shared" si="12"/>
        <v>2.5598451286251445</v>
      </c>
      <c r="R20" s="65">
        <f t="shared" si="4"/>
        <v>84.37139347008674</v>
      </c>
      <c r="S20" s="32">
        <f t="shared" si="5"/>
        <v>76.23121848001936</v>
      </c>
      <c r="T20" s="31">
        <f t="shared" si="6"/>
        <v>0</v>
      </c>
      <c r="U20" s="32">
        <f t="shared" si="7"/>
        <v>16.152083461824944</v>
      </c>
      <c r="V20" s="32">
        <f aca="true" t="shared" si="15" ref="V20:V27">SUM(S20:U20)</f>
        <v>92.38330194184431</v>
      </c>
      <c r="W20" s="33" t="s">
        <v>82</v>
      </c>
      <c r="X20" s="84">
        <v>100</v>
      </c>
      <c r="Y20" s="84">
        <v>100</v>
      </c>
      <c r="Z20" s="84">
        <v>92.38</v>
      </c>
      <c r="AA20" s="84">
        <v>81.81</v>
      </c>
      <c r="AB20" s="35" t="s">
        <v>89</v>
      </c>
      <c r="AC20" s="123" t="s">
        <v>83</v>
      </c>
    </row>
    <row r="21" spans="1:29" s="68" customFormat="1" ht="70.5" customHeight="1">
      <c r="A21" s="64"/>
      <c r="B21" s="59"/>
      <c r="C21" s="60"/>
      <c r="D21" s="29"/>
      <c r="E21" s="61"/>
      <c r="F21" s="29"/>
      <c r="G21" s="61"/>
      <c r="H21" s="62"/>
      <c r="I21" s="62"/>
      <c r="J21" s="29"/>
      <c r="K21" s="83"/>
      <c r="L21" s="62"/>
      <c r="M21" s="122"/>
      <c r="N21" s="29"/>
      <c r="O21" s="65"/>
      <c r="P21" s="31"/>
      <c r="Q21" s="75"/>
      <c r="R21" s="65"/>
      <c r="S21" s="32"/>
      <c r="T21" s="31"/>
      <c r="U21" s="39"/>
      <c r="V21" s="32"/>
      <c r="W21" s="33"/>
      <c r="X21" s="84"/>
      <c r="Y21" s="84"/>
      <c r="Z21" s="84"/>
      <c r="AA21" s="84"/>
      <c r="AB21" s="35" t="s">
        <v>90</v>
      </c>
      <c r="AC21" s="123"/>
    </row>
    <row r="22" spans="1:29" s="68" customFormat="1" ht="128.25" customHeight="1">
      <c r="A22" s="64" t="s">
        <v>57</v>
      </c>
      <c r="B22" s="29">
        <v>42343</v>
      </c>
      <c r="C22" s="29">
        <v>42343</v>
      </c>
      <c r="D22" s="31" t="s">
        <v>4</v>
      </c>
      <c r="E22" s="29">
        <v>42343</v>
      </c>
      <c r="F22" s="29">
        <f aca="true" t="shared" si="16" ref="F22:F28">SUM(D22:E22)</f>
        <v>42343</v>
      </c>
      <c r="G22" s="29">
        <v>37138</v>
      </c>
      <c r="H22" s="31">
        <v>0</v>
      </c>
      <c r="I22" s="29">
        <v>5205</v>
      </c>
      <c r="J22" s="29">
        <f t="shared" si="13"/>
        <v>42343</v>
      </c>
      <c r="K22" s="29">
        <v>37138</v>
      </c>
      <c r="L22" s="31">
        <v>0</v>
      </c>
      <c r="M22" s="29">
        <v>5205</v>
      </c>
      <c r="N22" s="29">
        <f t="shared" si="14"/>
        <v>42343</v>
      </c>
      <c r="O22" s="65">
        <f t="shared" si="11"/>
        <v>87.7075313511088</v>
      </c>
      <c r="P22" s="31">
        <f t="shared" si="2"/>
        <v>0</v>
      </c>
      <c r="Q22" s="65">
        <f t="shared" si="12"/>
        <v>12.292468648891198</v>
      </c>
      <c r="R22" s="65">
        <f aca="true" t="shared" si="17" ref="R22:R33">SUM(O22:Q22)</f>
        <v>100</v>
      </c>
      <c r="S22" s="32">
        <f aca="true" t="shared" si="18" ref="S22:S28">K22/C22*100</f>
        <v>87.7075313511088</v>
      </c>
      <c r="T22" s="31">
        <f t="shared" si="6"/>
        <v>0</v>
      </c>
      <c r="U22" s="32">
        <f t="shared" si="7"/>
        <v>12.292468648891198</v>
      </c>
      <c r="V22" s="32">
        <f t="shared" si="15"/>
        <v>100</v>
      </c>
      <c r="W22" s="35" t="s">
        <v>84</v>
      </c>
      <c r="X22" s="32">
        <v>100</v>
      </c>
      <c r="Y22" s="32">
        <v>100</v>
      </c>
      <c r="Z22" s="32">
        <v>100</v>
      </c>
      <c r="AA22" s="32">
        <v>100</v>
      </c>
      <c r="AB22" s="35" t="s">
        <v>84</v>
      </c>
      <c r="AC22" s="76" t="s">
        <v>85</v>
      </c>
    </row>
    <row r="23" spans="1:29" s="68" customFormat="1" ht="74.25" customHeight="1">
      <c r="A23" s="64" t="s">
        <v>48</v>
      </c>
      <c r="B23" s="29">
        <v>377710</v>
      </c>
      <c r="C23" s="29">
        <f>74243+33512</f>
        <v>107755</v>
      </c>
      <c r="D23" s="29">
        <v>0</v>
      </c>
      <c r="E23" s="29">
        <v>33512</v>
      </c>
      <c r="F23" s="29">
        <f t="shared" si="16"/>
        <v>33512</v>
      </c>
      <c r="G23" s="29">
        <v>32500</v>
      </c>
      <c r="H23" s="29">
        <v>0</v>
      </c>
      <c r="I23" s="29">
        <v>1012</v>
      </c>
      <c r="J23" s="29">
        <f t="shared" si="13"/>
        <v>33512</v>
      </c>
      <c r="K23" s="29">
        <f>28479+44572+32500</f>
        <v>105551</v>
      </c>
      <c r="L23" s="29">
        <v>0</v>
      </c>
      <c r="M23" s="29">
        <f>55+147+1012</f>
        <v>1214</v>
      </c>
      <c r="N23" s="29">
        <f t="shared" si="14"/>
        <v>106765</v>
      </c>
      <c r="O23" s="65">
        <f aca="true" t="shared" si="19" ref="O23:O28">G23/F23*100</f>
        <v>96.98018620195751</v>
      </c>
      <c r="P23" s="75">
        <f aca="true" t="shared" si="20" ref="P23:P28">H23/F23*100</f>
        <v>0</v>
      </c>
      <c r="Q23" s="65">
        <f aca="true" t="shared" si="21" ref="Q23:Q28">I23/F23*100</f>
        <v>3.019813798042492</v>
      </c>
      <c r="R23" s="65">
        <f t="shared" si="17"/>
        <v>100</v>
      </c>
      <c r="S23" s="32">
        <f t="shared" si="18"/>
        <v>97.95461927520765</v>
      </c>
      <c r="T23" s="75">
        <f aca="true" t="shared" si="22" ref="T23:T28">L23/C23*100</f>
        <v>0</v>
      </c>
      <c r="U23" s="32">
        <f aca="true" t="shared" si="23" ref="U23:U28">M23/C23*100</f>
        <v>1.12662985476312</v>
      </c>
      <c r="V23" s="32">
        <f t="shared" si="15"/>
        <v>99.08124912997077</v>
      </c>
      <c r="W23" s="35"/>
      <c r="X23" s="32">
        <v>60</v>
      </c>
      <c r="Y23" s="32">
        <v>100</v>
      </c>
      <c r="Z23" s="32">
        <v>60</v>
      </c>
      <c r="AA23" s="32">
        <v>100</v>
      </c>
      <c r="AB23" s="67"/>
      <c r="AC23" s="76" t="s">
        <v>60</v>
      </c>
    </row>
    <row r="24" spans="1:29" s="68" customFormat="1" ht="57" customHeight="1">
      <c r="A24" s="64" t="s">
        <v>49</v>
      </c>
      <c r="B24" s="29">
        <v>606035</v>
      </c>
      <c r="C24" s="29">
        <v>67513</v>
      </c>
      <c r="D24" s="31">
        <v>0</v>
      </c>
      <c r="E24" s="29">
        <v>16916</v>
      </c>
      <c r="F24" s="29">
        <f t="shared" si="16"/>
        <v>16916</v>
      </c>
      <c r="G24" s="29">
        <v>16906</v>
      </c>
      <c r="H24" s="29">
        <v>0</v>
      </c>
      <c r="I24" s="29">
        <v>10</v>
      </c>
      <c r="J24" s="29">
        <f t="shared" si="13"/>
        <v>16916</v>
      </c>
      <c r="K24" s="29">
        <f>27643+19075+16906</f>
        <v>63624</v>
      </c>
      <c r="L24" s="29">
        <v>0</v>
      </c>
      <c r="M24" s="29">
        <f>2950+279+10</f>
        <v>3239</v>
      </c>
      <c r="N24" s="29">
        <f t="shared" si="14"/>
        <v>66863</v>
      </c>
      <c r="O24" s="65">
        <f t="shared" si="19"/>
        <v>99.94088436982739</v>
      </c>
      <c r="P24" s="75">
        <f t="shared" si="20"/>
        <v>0</v>
      </c>
      <c r="Q24" s="65">
        <f t="shared" si="21"/>
        <v>0.05911563017261764</v>
      </c>
      <c r="R24" s="65">
        <f t="shared" si="17"/>
        <v>100</v>
      </c>
      <c r="S24" s="32">
        <f t="shared" si="18"/>
        <v>94.23962792351102</v>
      </c>
      <c r="T24" s="75">
        <f t="shared" si="22"/>
        <v>0</v>
      </c>
      <c r="U24" s="32">
        <f t="shared" si="23"/>
        <v>4.797594537348362</v>
      </c>
      <c r="V24" s="32">
        <f t="shared" si="15"/>
        <v>99.03722246085938</v>
      </c>
      <c r="W24" s="66"/>
      <c r="X24" s="32">
        <v>60</v>
      </c>
      <c r="Y24" s="32">
        <v>100</v>
      </c>
      <c r="Z24" s="32">
        <v>60</v>
      </c>
      <c r="AA24" s="32">
        <v>100</v>
      </c>
      <c r="AB24" s="67"/>
      <c r="AC24" s="76" t="s">
        <v>5</v>
      </c>
    </row>
    <row r="25" spans="1:30" s="68" customFormat="1" ht="61.5" customHeight="1">
      <c r="A25" s="64" t="s">
        <v>46</v>
      </c>
      <c r="B25" s="29">
        <v>336543</v>
      </c>
      <c r="C25" s="29">
        <v>328320</v>
      </c>
      <c r="D25" s="31">
        <v>0</v>
      </c>
      <c r="E25" s="29">
        <f>26432</f>
        <v>26432</v>
      </c>
      <c r="F25" s="29">
        <f t="shared" si="16"/>
        <v>26432</v>
      </c>
      <c r="G25" s="29">
        <v>24758</v>
      </c>
      <c r="H25" s="31">
        <v>0</v>
      </c>
      <c r="I25" s="29">
        <f>E25-G25</f>
        <v>1674</v>
      </c>
      <c r="J25" s="29">
        <f t="shared" si="13"/>
        <v>26432</v>
      </c>
      <c r="K25" s="29">
        <f>225759+59712+24758</f>
        <v>310229</v>
      </c>
      <c r="L25" s="31">
        <v>0</v>
      </c>
      <c r="M25" s="29">
        <f>9132+642+1674</f>
        <v>11448</v>
      </c>
      <c r="N25" s="29">
        <f t="shared" si="14"/>
        <v>321677</v>
      </c>
      <c r="O25" s="65">
        <f t="shared" si="19"/>
        <v>93.66676755447942</v>
      </c>
      <c r="P25" s="31">
        <f t="shared" si="20"/>
        <v>0</v>
      </c>
      <c r="Q25" s="65">
        <f t="shared" si="21"/>
        <v>6.333232445520581</v>
      </c>
      <c r="R25" s="65">
        <f t="shared" si="17"/>
        <v>100</v>
      </c>
      <c r="S25" s="32">
        <f t="shared" si="18"/>
        <v>94.48982699805069</v>
      </c>
      <c r="T25" s="31">
        <f t="shared" si="22"/>
        <v>0</v>
      </c>
      <c r="U25" s="32">
        <f t="shared" si="23"/>
        <v>3.4868421052631575</v>
      </c>
      <c r="V25" s="32">
        <f t="shared" si="15"/>
        <v>97.97666910331384</v>
      </c>
      <c r="W25" s="66"/>
      <c r="X25" s="32">
        <v>100</v>
      </c>
      <c r="Y25" s="32">
        <v>100</v>
      </c>
      <c r="Z25" s="32">
        <v>100</v>
      </c>
      <c r="AA25" s="32">
        <v>100</v>
      </c>
      <c r="AB25" s="67"/>
      <c r="AC25" s="76" t="s">
        <v>88</v>
      </c>
      <c r="AD25" s="127" t="s">
        <v>95</v>
      </c>
    </row>
    <row r="26" spans="1:30" s="68" customFormat="1" ht="58.5" customHeight="1">
      <c r="A26" s="64" t="s">
        <v>6</v>
      </c>
      <c r="B26" s="29">
        <v>2000</v>
      </c>
      <c r="C26" s="29">
        <v>2000</v>
      </c>
      <c r="D26" s="31">
        <v>0</v>
      </c>
      <c r="E26" s="29">
        <v>2058</v>
      </c>
      <c r="F26" s="29">
        <f t="shared" si="16"/>
        <v>2058</v>
      </c>
      <c r="G26" s="29">
        <v>2058</v>
      </c>
      <c r="H26" s="31">
        <v>0</v>
      </c>
      <c r="I26" s="31">
        <v>0</v>
      </c>
      <c r="J26" s="29">
        <f t="shared" si="13"/>
        <v>2058</v>
      </c>
      <c r="K26" s="29">
        <v>2058</v>
      </c>
      <c r="L26" s="31">
        <v>0</v>
      </c>
      <c r="M26" s="31">
        <v>0</v>
      </c>
      <c r="N26" s="29">
        <f t="shared" si="14"/>
        <v>2058</v>
      </c>
      <c r="O26" s="65">
        <f t="shared" si="19"/>
        <v>100</v>
      </c>
      <c r="P26" s="31">
        <f t="shared" si="20"/>
        <v>0</v>
      </c>
      <c r="Q26" s="31">
        <f t="shared" si="21"/>
        <v>0</v>
      </c>
      <c r="R26" s="65">
        <f t="shared" si="17"/>
        <v>100</v>
      </c>
      <c r="S26" s="32">
        <f t="shared" si="18"/>
        <v>102.89999999999999</v>
      </c>
      <c r="T26" s="31">
        <f t="shared" si="22"/>
        <v>0</v>
      </c>
      <c r="U26" s="31">
        <f t="shared" si="23"/>
        <v>0</v>
      </c>
      <c r="V26" s="32">
        <f t="shared" si="15"/>
        <v>102.89999999999999</v>
      </c>
      <c r="W26" s="66"/>
      <c r="X26" s="32">
        <v>100</v>
      </c>
      <c r="Y26" s="32">
        <v>100</v>
      </c>
      <c r="Z26" s="32">
        <v>100</v>
      </c>
      <c r="AA26" s="32">
        <v>100</v>
      </c>
      <c r="AB26" s="67"/>
      <c r="AC26" s="76" t="s">
        <v>96</v>
      </c>
      <c r="AD26" s="80" t="s">
        <v>61</v>
      </c>
    </row>
    <row r="27" spans="1:30" s="68" customFormat="1" ht="60" customHeight="1">
      <c r="A27" s="85" t="s">
        <v>47</v>
      </c>
      <c r="B27" s="86">
        <v>113100</v>
      </c>
      <c r="C27" s="86">
        <v>113100</v>
      </c>
      <c r="D27" s="88">
        <v>0</v>
      </c>
      <c r="E27" s="86">
        <f>68100-1000</f>
        <v>67100</v>
      </c>
      <c r="F27" s="86">
        <f t="shared" si="16"/>
        <v>67100</v>
      </c>
      <c r="G27" s="86">
        <v>66898</v>
      </c>
      <c r="H27" s="88">
        <v>0</v>
      </c>
      <c r="I27" s="86">
        <v>202</v>
      </c>
      <c r="J27" s="86">
        <f t="shared" si="13"/>
        <v>67100</v>
      </c>
      <c r="K27" s="86">
        <f>45015+66898</f>
        <v>111913</v>
      </c>
      <c r="L27" s="88">
        <v>0</v>
      </c>
      <c r="M27" s="86">
        <f>155+202</f>
        <v>357</v>
      </c>
      <c r="N27" s="86">
        <f t="shared" si="14"/>
        <v>112270</v>
      </c>
      <c r="O27" s="87">
        <f t="shared" si="19"/>
        <v>99.698956780924</v>
      </c>
      <c r="P27" s="88">
        <f t="shared" si="20"/>
        <v>0</v>
      </c>
      <c r="Q27" s="87">
        <f t="shared" si="21"/>
        <v>0.30104321907600595</v>
      </c>
      <c r="R27" s="87">
        <f t="shared" si="17"/>
        <v>100</v>
      </c>
      <c r="S27" s="89">
        <f t="shared" si="18"/>
        <v>98.95048629531388</v>
      </c>
      <c r="T27" s="88">
        <f t="shared" si="22"/>
        <v>0</v>
      </c>
      <c r="U27" s="89">
        <f t="shared" si="23"/>
        <v>0.3156498673740053</v>
      </c>
      <c r="V27" s="89">
        <f t="shared" si="15"/>
        <v>99.26613616268789</v>
      </c>
      <c r="W27" s="125"/>
      <c r="X27" s="89">
        <v>100</v>
      </c>
      <c r="Y27" s="89">
        <v>100</v>
      </c>
      <c r="Z27" s="89">
        <v>100</v>
      </c>
      <c r="AA27" s="89">
        <v>100</v>
      </c>
      <c r="AB27" s="90"/>
      <c r="AC27" s="91" t="s">
        <v>87</v>
      </c>
      <c r="AD27" s="80" t="s">
        <v>79</v>
      </c>
    </row>
    <row r="28" spans="1:29" s="79" customFormat="1" ht="117.75" customHeight="1">
      <c r="A28" s="98" t="s">
        <v>56</v>
      </c>
      <c r="B28" s="99">
        <v>5561672</v>
      </c>
      <c r="C28" s="100">
        <v>1831310</v>
      </c>
      <c r="D28" s="99">
        <v>0</v>
      </c>
      <c r="E28" s="99">
        <v>163020</v>
      </c>
      <c r="F28" s="100">
        <f t="shared" si="16"/>
        <v>163020</v>
      </c>
      <c r="G28" s="100">
        <v>156850</v>
      </c>
      <c r="H28" s="101"/>
      <c r="I28" s="100">
        <v>1745</v>
      </c>
      <c r="J28" s="100">
        <f t="shared" si="13"/>
        <v>158595</v>
      </c>
      <c r="K28" s="100">
        <f>1566686+156850</f>
        <v>1723536</v>
      </c>
      <c r="L28" s="101">
        <f>4425</f>
        <v>4425</v>
      </c>
      <c r="M28" s="100">
        <f>99217+1745</f>
        <v>100962</v>
      </c>
      <c r="N28" s="100">
        <f t="shared" si="14"/>
        <v>1828923</v>
      </c>
      <c r="O28" s="65">
        <f t="shared" si="19"/>
        <v>96.21518832045149</v>
      </c>
      <c r="P28" s="102">
        <f t="shared" si="20"/>
        <v>0</v>
      </c>
      <c r="Q28" s="65">
        <f t="shared" si="21"/>
        <v>1.0704208072629124</v>
      </c>
      <c r="R28" s="65">
        <f t="shared" si="17"/>
        <v>97.2856091277144</v>
      </c>
      <c r="S28" s="32">
        <f t="shared" si="18"/>
        <v>94.11492319705566</v>
      </c>
      <c r="T28" s="103">
        <f t="shared" si="22"/>
        <v>0.24163030835849747</v>
      </c>
      <c r="U28" s="32">
        <f t="shared" si="23"/>
        <v>5.513102642370762</v>
      </c>
      <c r="V28" s="32">
        <f>SUM(S28:U28)</f>
        <v>99.86965614778492</v>
      </c>
      <c r="W28" s="66"/>
      <c r="X28" s="32">
        <v>71</v>
      </c>
      <c r="Y28" s="32">
        <v>100</v>
      </c>
      <c r="Z28" s="32">
        <v>71</v>
      </c>
      <c r="AA28" s="32">
        <v>100</v>
      </c>
      <c r="AB28" s="35"/>
      <c r="AC28" s="76" t="s">
        <v>80</v>
      </c>
    </row>
    <row r="29" spans="1:29" s="43" customFormat="1" ht="64.5" customHeight="1">
      <c r="A29" s="36" t="s">
        <v>41</v>
      </c>
      <c r="B29" s="37"/>
      <c r="C29" s="37"/>
      <c r="D29" s="37"/>
      <c r="E29" s="37"/>
      <c r="F29" s="37"/>
      <c r="G29" s="37"/>
      <c r="H29" s="37"/>
      <c r="I29" s="37"/>
      <c r="J29" s="37"/>
      <c r="K29" s="37"/>
      <c r="L29" s="37"/>
      <c r="M29" s="40"/>
      <c r="N29" s="37"/>
      <c r="O29" s="38"/>
      <c r="P29" s="34"/>
      <c r="Q29" s="30"/>
      <c r="R29" s="39"/>
      <c r="S29" s="38"/>
      <c r="T29" s="38"/>
      <c r="U29" s="38"/>
      <c r="V29" s="39"/>
      <c r="W29" s="42"/>
      <c r="X29" s="32"/>
      <c r="Y29" s="32"/>
      <c r="Z29" s="32"/>
      <c r="AA29" s="32"/>
      <c r="AB29" s="41"/>
      <c r="AC29" s="76"/>
    </row>
    <row r="30" spans="1:29" s="48" customFormat="1" ht="128.25" customHeight="1">
      <c r="A30" s="64" t="s">
        <v>50</v>
      </c>
      <c r="B30" s="69">
        <v>4347595</v>
      </c>
      <c r="C30" s="100">
        <f>2501306+279050</f>
        <v>2780356</v>
      </c>
      <c r="D30" s="101" t="s">
        <v>4</v>
      </c>
      <c r="E30" s="100">
        <v>279050</v>
      </c>
      <c r="F30" s="100">
        <f>SUM(D30:E30)</f>
        <v>279050</v>
      </c>
      <c r="G30" s="100">
        <v>277613</v>
      </c>
      <c r="H30" s="101">
        <v>0</v>
      </c>
      <c r="I30" s="100">
        <v>1437</v>
      </c>
      <c r="J30" s="100">
        <f>SUM(G30:I30)</f>
        <v>279050</v>
      </c>
      <c r="K30" s="100">
        <f>2120910+319782+277613</f>
        <v>2718305</v>
      </c>
      <c r="L30" s="101">
        <v>0</v>
      </c>
      <c r="M30" s="100">
        <f>55779+3194+1437+1641</f>
        <v>62051</v>
      </c>
      <c r="N30" s="100">
        <f t="shared" si="14"/>
        <v>2780356</v>
      </c>
      <c r="O30" s="65">
        <f>G30/F30*100</f>
        <v>99.48503852356208</v>
      </c>
      <c r="P30" s="101">
        <f>H30/F30*100</f>
        <v>0</v>
      </c>
      <c r="Q30" s="65">
        <f>I30/F30*100</f>
        <v>0.5149614764379143</v>
      </c>
      <c r="R30" s="65">
        <f t="shared" si="17"/>
        <v>100</v>
      </c>
      <c r="S30" s="65">
        <f>K30/C30*100</f>
        <v>97.76823543459902</v>
      </c>
      <c r="T30" s="31">
        <f>L30/C30*100</f>
        <v>0</v>
      </c>
      <c r="U30" s="32">
        <f>M30/C30*100</f>
        <v>2.2317645654009772</v>
      </c>
      <c r="V30" s="32">
        <f>SUM(S30:U30)</f>
        <v>100</v>
      </c>
      <c r="W30" s="45"/>
      <c r="X30" s="46">
        <v>87.04</v>
      </c>
      <c r="Y30" s="46">
        <v>100</v>
      </c>
      <c r="Z30" s="46">
        <v>92.85</v>
      </c>
      <c r="AA30" s="46">
        <v>100</v>
      </c>
      <c r="AB30" s="47"/>
      <c r="AC30" s="76" t="s">
        <v>97</v>
      </c>
    </row>
    <row r="31" spans="1:29" s="48" customFormat="1" ht="333" customHeight="1">
      <c r="A31" s="64" t="s">
        <v>51</v>
      </c>
      <c r="B31" s="69">
        <v>120000</v>
      </c>
      <c r="C31" s="100">
        <f>41996+20532</f>
        <v>62528</v>
      </c>
      <c r="D31" s="101">
        <v>0</v>
      </c>
      <c r="E31" s="100">
        <v>20532</v>
      </c>
      <c r="F31" s="100">
        <f>SUM(D31:E31)</f>
        <v>20532</v>
      </c>
      <c r="G31" s="100">
        <v>20345</v>
      </c>
      <c r="H31" s="31">
        <v>0</v>
      </c>
      <c r="I31" s="100">
        <v>187</v>
      </c>
      <c r="J31" s="100">
        <f>SUM(G31:I31)</f>
        <v>20532</v>
      </c>
      <c r="K31" s="100">
        <f>19668+21320+20345</f>
        <v>61333</v>
      </c>
      <c r="L31" s="101">
        <v>0</v>
      </c>
      <c r="M31" s="100">
        <f>212+796+187</f>
        <v>1195</v>
      </c>
      <c r="N31" s="100">
        <f t="shared" si="14"/>
        <v>62528</v>
      </c>
      <c r="O31" s="65">
        <f>G31/F31*100</f>
        <v>99.0892265731541</v>
      </c>
      <c r="P31" s="101">
        <f>H31/F31*100</f>
        <v>0</v>
      </c>
      <c r="Q31" s="65">
        <f>I31/F31*100</f>
        <v>0.910773426845899</v>
      </c>
      <c r="R31" s="65">
        <f t="shared" si="17"/>
        <v>99.99999999999999</v>
      </c>
      <c r="S31" s="65">
        <f>K31/C31*100</f>
        <v>98.0888561924258</v>
      </c>
      <c r="T31" s="31">
        <f>L31/C31*100</f>
        <v>0</v>
      </c>
      <c r="U31" s="32">
        <f>M31/C31*100</f>
        <v>1.9111438075742067</v>
      </c>
      <c r="V31" s="32">
        <f>SUM(S31:U31)</f>
        <v>100</v>
      </c>
      <c r="W31" s="45"/>
      <c r="X31" s="46">
        <v>75</v>
      </c>
      <c r="Y31" s="46">
        <v>100</v>
      </c>
      <c r="Z31" s="46">
        <v>75</v>
      </c>
      <c r="AA31" s="46">
        <v>100</v>
      </c>
      <c r="AB31" s="47"/>
      <c r="AC31" s="76" t="s">
        <v>91</v>
      </c>
    </row>
    <row r="32" spans="1:29" s="48" customFormat="1" ht="409.5" customHeight="1">
      <c r="A32" s="85"/>
      <c r="B32" s="92"/>
      <c r="C32" s="92"/>
      <c r="D32" s="109"/>
      <c r="E32" s="93"/>
      <c r="F32" s="93"/>
      <c r="G32" s="93"/>
      <c r="H32" s="88"/>
      <c r="I32" s="93"/>
      <c r="J32" s="93"/>
      <c r="K32" s="93"/>
      <c r="L32" s="109"/>
      <c r="M32" s="93"/>
      <c r="N32" s="93"/>
      <c r="O32" s="94"/>
      <c r="P32" s="109"/>
      <c r="Q32" s="87"/>
      <c r="R32" s="87"/>
      <c r="S32" s="94"/>
      <c r="T32" s="88"/>
      <c r="U32" s="94"/>
      <c r="V32" s="94"/>
      <c r="W32" s="95"/>
      <c r="X32" s="96"/>
      <c r="Y32" s="96"/>
      <c r="Z32" s="96"/>
      <c r="AA32" s="96"/>
      <c r="AB32" s="97"/>
      <c r="AC32" s="91" t="s">
        <v>98</v>
      </c>
    </row>
    <row r="33" spans="1:29" s="48" customFormat="1" ht="378" customHeight="1">
      <c r="A33" s="64" t="s">
        <v>52</v>
      </c>
      <c r="B33" s="100">
        <v>2192182</v>
      </c>
      <c r="C33" s="69">
        <f>844445+84362</f>
        <v>928807</v>
      </c>
      <c r="D33" s="31">
        <v>0</v>
      </c>
      <c r="E33" s="100">
        <v>84362</v>
      </c>
      <c r="F33" s="100">
        <f>SUM(D33:E33)</f>
        <v>84362</v>
      </c>
      <c r="G33" s="100">
        <v>84010</v>
      </c>
      <c r="H33" s="101">
        <v>0</v>
      </c>
      <c r="I33" s="100">
        <v>352</v>
      </c>
      <c r="J33" s="100">
        <f>SUM(G33:I33)</f>
        <v>84362</v>
      </c>
      <c r="K33" s="100">
        <f>723223+78167+84010</f>
        <v>885400</v>
      </c>
      <c r="L33" s="101">
        <v>0</v>
      </c>
      <c r="M33" s="100">
        <f>41496+1559+352</f>
        <v>43407</v>
      </c>
      <c r="N33" s="100">
        <f>K33+L33+M33</f>
        <v>928807</v>
      </c>
      <c r="O33" s="65">
        <f>G33/F33*100</f>
        <v>99.58275052748868</v>
      </c>
      <c r="P33" s="101">
        <f>H33/F33*100</f>
        <v>0</v>
      </c>
      <c r="Q33" s="65">
        <f>I33/F33*100</f>
        <v>0.4172494725113203</v>
      </c>
      <c r="R33" s="65">
        <f t="shared" si="17"/>
        <v>100</v>
      </c>
      <c r="S33" s="65">
        <f>K33/C33*100</f>
        <v>95.3265856092816</v>
      </c>
      <c r="T33" s="31">
        <f>L33/C33*100</f>
        <v>0</v>
      </c>
      <c r="U33" s="65">
        <f>M33/C33*100</f>
        <v>4.673414390718416</v>
      </c>
      <c r="V33" s="32">
        <f>SUM(S33:U33)</f>
        <v>100.00000000000001</v>
      </c>
      <c r="W33" s="45"/>
      <c r="X33" s="46">
        <v>80</v>
      </c>
      <c r="Y33" s="46">
        <v>100</v>
      </c>
      <c r="Z33" s="46">
        <v>80</v>
      </c>
      <c r="AA33" s="46">
        <v>100</v>
      </c>
      <c r="AB33" s="47"/>
      <c r="AC33" s="76" t="s">
        <v>92</v>
      </c>
    </row>
    <row r="34" spans="1:29" s="48" customFormat="1" ht="409.5" customHeight="1">
      <c r="A34" s="64"/>
      <c r="B34" s="69"/>
      <c r="C34" s="69"/>
      <c r="D34" s="31"/>
      <c r="E34" s="70"/>
      <c r="F34" s="70"/>
      <c r="G34" s="70"/>
      <c r="H34" s="29"/>
      <c r="I34" s="70"/>
      <c r="J34" s="70"/>
      <c r="K34" s="70"/>
      <c r="L34" s="29"/>
      <c r="M34" s="70"/>
      <c r="N34" s="70"/>
      <c r="O34" s="71"/>
      <c r="P34" s="29"/>
      <c r="Q34" s="65"/>
      <c r="R34" s="71"/>
      <c r="S34" s="71"/>
      <c r="T34" s="31"/>
      <c r="U34" s="71"/>
      <c r="V34" s="71"/>
      <c r="W34" s="45"/>
      <c r="X34" s="46"/>
      <c r="Y34" s="46"/>
      <c r="Z34" s="46"/>
      <c r="AA34" s="46"/>
      <c r="AB34" s="47"/>
      <c r="AC34" s="76" t="s">
        <v>93</v>
      </c>
    </row>
    <row r="35" spans="1:29" s="48" customFormat="1" ht="243" customHeight="1">
      <c r="A35" s="85" t="s">
        <v>53</v>
      </c>
      <c r="B35" s="92">
        <v>871987</v>
      </c>
      <c r="C35" s="128">
        <f>24850+8301</f>
        <v>33151</v>
      </c>
      <c r="D35" s="109" t="s">
        <v>4</v>
      </c>
      <c r="E35" s="128">
        <v>8301</v>
      </c>
      <c r="F35" s="128">
        <f>SUM(D35:E35)</f>
        <v>8301</v>
      </c>
      <c r="G35" s="128">
        <v>8262</v>
      </c>
      <c r="H35" s="109">
        <v>0</v>
      </c>
      <c r="I35" s="128">
        <v>39</v>
      </c>
      <c r="J35" s="128">
        <f>SUM(G35:I35)</f>
        <v>8301</v>
      </c>
      <c r="K35" s="128">
        <f>15387+9088+8262</f>
        <v>32737</v>
      </c>
      <c r="L35" s="109">
        <v>0</v>
      </c>
      <c r="M35" s="128">
        <f>184+191+39</f>
        <v>414</v>
      </c>
      <c r="N35" s="128">
        <f>K35+L35+M35</f>
        <v>33151</v>
      </c>
      <c r="O35" s="87">
        <f>G35/F35*100</f>
        <v>99.53017708709794</v>
      </c>
      <c r="P35" s="109">
        <f>H35/F35*100</f>
        <v>0</v>
      </c>
      <c r="Q35" s="87">
        <f>I35/F35*100</f>
        <v>0.46982291290205996</v>
      </c>
      <c r="R35" s="87">
        <f>SUM(O35:Q35)</f>
        <v>100</v>
      </c>
      <c r="S35" s="87">
        <f>K35/C35*100</f>
        <v>98.75116889384937</v>
      </c>
      <c r="T35" s="88">
        <f>L35/C35*100</f>
        <v>0</v>
      </c>
      <c r="U35" s="89">
        <f>M35/C35*100</f>
        <v>1.248831106150644</v>
      </c>
      <c r="V35" s="89">
        <f>SUM(S35:U35)</f>
        <v>100.00000000000001</v>
      </c>
      <c r="W35" s="95"/>
      <c r="X35" s="96">
        <v>20</v>
      </c>
      <c r="Y35" s="96">
        <v>100</v>
      </c>
      <c r="Z35" s="96">
        <v>20</v>
      </c>
      <c r="AA35" s="96">
        <v>100</v>
      </c>
      <c r="AB35" s="97"/>
      <c r="AC35" s="91" t="s">
        <v>99</v>
      </c>
    </row>
    <row r="36" spans="1:29" s="48" customFormat="1" ht="250.5" customHeight="1">
      <c r="A36" s="64"/>
      <c r="B36" s="69"/>
      <c r="C36" s="69"/>
      <c r="D36" s="101"/>
      <c r="E36" s="70"/>
      <c r="F36" s="70"/>
      <c r="G36" s="70"/>
      <c r="H36" s="101"/>
      <c r="I36" s="70"/>
      <c r="J36" s="70"/>
      <c r="K36" s="70"/>
      <c r="L36" s="101"/>
      <c r="M36" s="70"/>
      <c r="N36" s="70"/>
      <c r="O36" s="71"/>
      <c r="P36" s="101"/>
      <c r="Q36" s="65"/>
      <c r="R36" s="65"/>
      <c r="S36" s="71"/>
      <c r="T36" s="31"/>
      <c r="U36" s="71"/>
      <c r="V36" s="71"/>
      <c r="W36" s="45"/>
      <c r="X36" s="46"/>
      <c r="Y36" s="46"/>
      <c r="Z36" s="46"/>
      <c r="AA36" s="46"/>
      <c r="AB36" s="47"/>
      <c r="AC36" s="76" t="s">
        <v>100</v>
      </c>
    </row>
    <row r="37" spans="1:29" s="43" customFormat="1" ht="49.5" customHeight="1">
      <c r="A37" s="28" t="s">
        <v>42</v>
      </c>
      <c r="B37" s="112"/>
      <c r="C37" s="112"/>
      <c r="D37" s="113"/>
      <c r="E37" s="113"/>
      <c r="F37" s="113"/>
      <c r="G37" s="113"/>
      <c r="H37" s="114"/>
      <c r="I37" s="113"/>
      <c r="J37" s="113"/>
      <c r="K37" s="113"/>
      <c r="L37" s="114"/>
      <c r="M37" s="113"/>
      <c r="N37" s="113"/>
      <c r="O37" s="44"/>
      <c r="P37" s="34"/>
      <c r="Q37" s="30"/>
      <c r="R37" s="44"/>
      <c r="S37" s="44"/>
      <c r="T37" s="115"/>
      <c r="U37" s="44"/>
      <c r="V37" s="44"/>
      <c r="W37" s="49"/>
      <c r="X37" s="116"/>
      <c r="Y37" s="117"/>
      <c r="Z37" s="116"/>
      <c r="AA37" s="118"/>
      <c r="AB37" s="47"/>
      <c r="AC37" s="76"/>
    </row>
    <row r="38" spans="1:30" s="74" customFormat="1" ht="409.5" customHeight="1">
      <c r="A38" s="64" t="s">
        <v>54</v>
      </c>
      <c r="B38" s="100">
        <v>497904</v>
      </c>
      <c r="C38" s="100">
        <f>447144+20575</f>
        <v>467719</v>
      </c>
      <c r="D38" s="52">
        <v>0</v>
      </c>
      <c r="E38" s="100">
        <v>20575</v>
      </c>
      <c r="F38" s="100">
        <f>SUM(D38:E38)</f>
        <v>20575</v>
      </c>
      <c r="G38" s="100">
        <f>19037-169</f>
        <v>18868</v>
      </c>
      <c r="H38" s="101">
        <v>0</v>
      </c>
      <c r="I38" s="100">
        <f>1538+169</f>
        <v>1707</v>
      </c>
      <c r="J38" s="100">
        <f>SUM(G38:I38)</f>
        <v>20575</v>
      </c>
      <c r="K38" s="100">
        <f>420404+19037-3919-169</f>
        <v>435353</v>
      </c>
      <c r="L38" s="101">
        <v>0</v>
      </c>
      <c r="M38" s="100">
        <f>26740+1538+3919+169</f>
        <v>32366</v>
      </c>
      <c r="N38" s="100">
        <f>SUM(K38:M38)</f>
        <v>467719</v>
      </c>
      <c r="O38" s="32">
        <f>G38/F38*100</f>
        <v>91.70352369380316</v>
      </c>
      <c r="P38" s="101">
        <f>H38/F38*100</f>
        <v>0</v>
      </c>
      <c r="Q38" s="32">
        <f>I38/F38*100</f>
        <v>8.29647630619684</v>
      </c>
      <c r="R38" s="65">
        <f>SUM(O38:Q38)</f>
        <v>100</v>
      </c>
      <c r="S38" s="32">
        <f>K38/C38*100</f>
        <v>93.0800330967953</v>
      </c>
      <c r="T38" s="31">
        <f>L38/C38*100</f>
        <v>0</v>
      </c>
      <c r="U38" s="32">
        <f>M38/C38*100</f>
        <v>6.919966903204703</v>
      </c>
      <c r="V38" s="32">
        <f>SUM(S38:U38)</f>
        <v>100</v>
      </c>
      <c r="W38" s="72"/>
      <c r="X38" s="63">
        <v>75.2</v>
      </c>
      <c r="Y38" s="63">
        <v>100</v>
      </c>
      <c r="Z38" s="63">
        <v>75.15</v>
      </c>
      <c r="AA38" s="63">
        <v>99.8</v>
      </c>
      <c r="AB38" s="73" t="s">
        <v>94</v>
      </c>
      <c r="AC38" s="76" t="s">
        <v>81</v>
      </c>
      <c r="AD38" s="82" t="s">
        <v>86</v>
      </c>
    </row>
    <row r="39" spans="1:29" s="56" customFormat="1" ht="175.5" customHeight="1">
      <c r="A39" s="64"/>
      <c r="B39" s="52"/>
      <c r="C39" s="51"/>
      <c r="D39" s="51"/>
      <c r="E39" s="51"/>
      <c r="F39" s="51"/>
      <c r="G39" s="51"/>
      <c r="H39" s="51"/>
      <c r="I39" s="51"/>
      <c r="J39" s="51"/>
      <c r="K39" s="51"/>
      <c r="L39" s="51"/>
      <c r="M39" s="52"/>
      <c r="N39" s="51"/>
      <c r="O39" s="53"/>
      <c r="P39" s="34"/>
      <c r="Q39" s="30"/>
      <c r="R39" s="57"/>
      <c r="S39" s="58"/>
      <c r="T39" s="58"/>
      <c r="U39" s="44"/>
      <c r="V39" s="44"/>
      <c r="W39" s="54"/>
      <c r="X39" s="55"/>
      <c r="Y39" s="55"/>
      <c r="Z39" s="55"/>
      <c r="AA39" s="55"/>
      <c r="AB39" s="50"/>
      <c r="AC39" s="77"/>
    </row>
    <row r="40" spans="1:29" ht="36.75" customHeight="1">
      <c r="A40" s="104"/>
      <c r="B40" s="110"/>
      <c r="C40" s="107"/>
      <c r="D40" s="105"/>
      <c r="E40" s="107"/>
      <c r="F40" s="105"/>
      <c r="G40" s="107"/>
      <c r="H40" s="105"/>
      <c r="I40" s="107"/>
      <c r="J40" s="105"/>
      <c r="K40" s="110"/>
      <c r="L40" s="107"/>
      <c r="M40" s="111"/>
      <c r="N40" s="111"/>
      <c r="O40" s="107"/>
      <c r="P40" s="107"/>
      <c r="Q40" s="105"/>
      <c r="R40" s="107"/>
      <c r="S40" s="105"/>
      <c r="T40" s="107"/>
      <c r="U40" s="105"/>
      <c r="V40" s="107"/>
      <c r="W40" s="105"/>
      <c r="X40" s="107"/>
      <c r="Y40" s="105"/>
      <c r="Z40" s="107"/>
      <c r="AA40" s="105"/>
      <c r="AB40" s="107"/>
      <c r="AC40" s="106"/>
    </row>
    <row r="41" spans="1:29" ht="106.5" customHeight="1">
      <c r="A41" s="129"/>
      <c r="B41" s="130"/>
      <c r="C41" s="131"/>
      <c r="D41" s="130"/>
      <c r="E41" s="131"/>
      <c r="F41" s="130"/>
      <c r="G41" s="132"/>
      <c r="H41" s="130"/>
      <c r="I41" s="131"/>
      <c r="J41" s="130"/>
      <c r="K41" s="131"/>
      <c r="L41" s="130"/>
      <c r="M41" s="131"/>
      <c r="N41" s="130"/>
      <c r="O41" s="130"/>
      <c r="P41" s="130"/>
      <c r="Q41" s="131"/>
      <c r="R41" s="130"/>
      <c r="S41" s="131"/>
      <c r="T41" s="130"/>
      <c r="U41" s="131"/>
      <c r="V41" s="130"/>
      <c r="W41" s="131"/>
      <c r="X41" s="130"/>
      <c r="Y41" s="131"/>
      <c r="Z41" s="130"/>
      <c r="AA41" s="131"/>
      <c r="AB41" s="130"/>
      <c r="AC41" s="133"/>
    </row>
  </sheetData>
  <sheetProtection/>
  <mergeCells count="19">
    <mergeCell ref="S5:V5"/>
    <mergeCell ref="W4:W6"/>
    <mergeCell ref="A4:A6"/>
    <mergeCell ref="B4:B6"/>
    <mergeCell ref="C4:C6"/>
    <mergeCell ref="D4:F4"/>
    <mergeCell ref="D5:D6"/>
    <mergeCell ref="E5:E6"/>
    <mergeCell ref="F5:F6"/>
    <mergeCell ref="AC4:AC6"/>
    <mergeCell ref="Z5:AA5"/>
    <mergeCell ref="AB4:AB6"/>
    <mergeCell ref="G4:N4"/>
    <mergeCell ref="K5:N5"/>
    <mergeCell ref="X4:AA4"/>
    <mergeCell ref="X5:Y5"/>
    <mergeCell ref="G5:J5"/>
    <mergeCell ref="O4:V4"/>
    <mergeCell ref="O5:R5"/>
  </mergeCells>
  <printOptions horizontalCentered="1"/>
  <pageMargins left="0" right="0" top="0.3937007874015748" bottom="0.1968503937007874" header="0.5118110236220472" footer="0.4724409448818898"/>
  <pageSetup horizontalDpi="600" verticalDpi="600" orientation="portrait" paperSize="9" scale="59" r:id="rId1"/>
  <rowBreaks count="4" manualBreakCount="4">
    <brk id="15" max="28" man="1"/>
    <brk id="27" max="28" man="1"/>
    <brk id="32" max="28" man="1"/>
    <brk id="35" max="28" man="1"/>
  </rowBreaks>
  <colBreaks count="1" manualBreakCount="1">
    <brk id="14"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i21</dc:creator>
  <cp:keywords/>
  <dc:description/>
  <cp:lastModifiedBy>曹翠蘭</cp:lastModifiedBy>
  <cp:lastPrinted>2014-07-12T03:12:30Z</cp:lastPrinted>
  <dcterms:created xsi:type="dcterms:W3CDTF">2011-01-11T08:54:42Z</dcterms:created>
  <dcterms:modified xsi:type="dcterms:W3CDTF">2014-08-28T01:11:24Z</dcterms:modified>
  <cp:category/>
  <cp:version/>
  <cp:contentType/>
  <cp:contentStatus/>
</cp:coreProperties>
</file>