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95" yWindow="65311" windowWidth="8505" windowHeight="4530" firstSheet="18" activeTab="19"/>
  </bookViews>
  <sheets>
    <sheet name="封面" sheetId="1" r:id="rId1"/>
    <sheet name="目錄" sheetId="2" r:id="rId2"/>
    <sheet name="甲、總說明" sheetId="3" r:id="rId3"/>
    <sheet name="本頁空白(1)" sheetId="4" r:id="rId4"/>
    <sheet name="乙、主要表" sheetId="5" r:id="rId5"/>
    <sheet name="基金來源、用途及餘絀決算表" sheetId="6" r:id="rId6"/>
    <sheet name="現金流量決算表" sheetId="7" r:id="rId7"/>
    <sheet name="本頁空白 (2)" sheetId="8" r:id="rId8"/>
    <sheet name="平衡表(資產)" sheetId="9" r:id="rId9"/>
    <sheet name="平衡表(負債)" sheetId="10" r:id="rId10"/>
    <sheet name="本頁空白 (3)" sheetId="11" r:id="rId11"/>
    <sheet name="丙、附屬表" sheetId="12" r:id="rId12"/>
    <sheet name="基金來源明細表" sheetId="13" r:id="rId13"/>
    <sheet name="基金用途明細表" sheetId="14" r:id="rId14"/>
    <sheet name="固定項目增減情形表" sheetId="15" r:id="rId15"/>
    <sheet name="固定資產建設改良擴充明細表" sheetId="16" r:id="rId16"/>
    <sheet name="本頁空白(4)" sheetId="17" r:id="rId17"/>
    <sheet name="用人費用彙計表" sheetId="18" r:id="rId18"/>
    <sheet name="員工人數彙計表" sheetId="19" r:id="rId19"/>
    <sheet name="主要業務計畫執行績效摘要表" sheetId="20" r:id="rId20"/>
    <sheet name="各項費用彙計表" sheetId="21" r:id="rId21"/>
    <sheet name="管制性項目及統計所需項目比較表" sheetId="22" r:id="rId22"/>
    <sheet name="封底" sheetId="23" r:id="rId23"/>
  </sheets>
  <definedNames>
    <definedName name="_xlnm.Print_Area" localSheetId="15">'固定資產建設改良擴充明細表'!$A$1:$I$25</definedName>
    <definedName name="_xlnm.Print_Area" localSheetId="18">'員工人數彙計表'!$A$1:$E$20</definedName>
    <definedName name="_xlnm.Print_Titles" localSheetId="9">'平衡表(負債)'!$1:$6</definedName>
    <definedName name="_xlnm.Print_Titles" localSheetId="8">'平衡表(資產)'!$1:$6</definedName>
    <definedName name="_xlnm.Print_Titles" localSheetId="17">'用人費用彙計表'!$1:$6</definedName>
    <definedName name="_xlnm.Print_Titles" localSheetId="20">'各項費用彙計表'!$1:$6</definedName>
    <definedName name="_xlnm.Print_Titles" localSheetId="18">'員工人數彙計表'!$1:$7</definedName>
    <definedName name="_xlnm.Print_Titles" localSheetId="13">'基金用途明細表'!$1:$6</definedName>
    <definedName name="_xlnm.Print_Titles" localSheetId="5">'基金來源、用途及餘絀決算表'!$1:$6</definedName>
  </definedNames>
  <calcPr fullCalcOnLoad="1"/>
</workbook>
</file>

<file path=xl/sharedStrings.xml><?xml version="1.0" encoding="utf-8"?>
<sst xmlns="http://schemas.openxmlformats.org/spreadsheetml/2006/main" count="568" uniqueCount="457">
  <si>
    <t>單位：新臺幣元</t>
  </si>
  <si>
    <t>％</t>
  </si>
  <si>
    <t>合計</t>
  </si>
  <si>
    <t>預算數</t>
  </si>
  <si>
    <t>決算數</t>
  </si>
  <si>
    <t>社　會　福　利　基　金</t>
  </si>
  <si>
    <t>比較增減</t>
  </si>
  <si>
    <t>備註</t>
  </si>
  <si>
    <t>丙、　附　屬　表</t>
  </si>
  <si>
    <t>項目</t>
  </si>
  <si>
    <t>中央政府總決算</t>
  </si>
  <si>
    <t>社會福利基金附屬單位決算</t>
  </si>
  <si>
    <t>(非營業部分)</t>
  </si>
  <si>
    <t>內政部　編</t>
  </si>
  <si>
    <t>內 政 部 主 管</t>
  </si>
  <si>
    <t>合　　計</t>
  </si>
  <si>
    <t>用　　人　　費　　用　　彙　　計　　表</t>
  </si>
  <si>
    <t>單位：新臺幣元</t>
  </si>
  <si>
    <t>預算數</t>
  </si>
  <si>
    <t>決算數</t>
  </si>
  <si>
    <t>正式員額
薪資</t>
  </si>
  <si>
    <t>聘僱人員
薪資</t>
  </si>
  <si>
    <t>超時工
作報酬</t>
  </si>
  <si>
    <t>退休及
卹償金</t>
  </si>
  <si>
    <t>資遣費</t>
  </si>
  <si>
    <t>福利費</t>
  </si>
  <si>
    <t>提繳費</t>
  </si>
  <si>
    <t>總計</t>
  </si>
  <si>
    <t>福利服務計畫</t>
  </si>
  <si>
    <t>　正式人員</t>
  </si>
  <si>
    <t>　聘僱人員</t>
  </si>
  <si>
    <t>單位：人</t>
  </si>
  <si>
    <t>專任人員</t>
  </si>
  <si>
    <t>　職員</t>
  </si>
  <si>
    <t>　工友</t>
  </si>
  <si>
    <t>兼任人員</t>
  </si>
  <si>
    <t>　顧問人員</t>
  </si>
  <si>
    <t>　其他兼任人員</t>
  </si>
  <si>
    <t>甲、　總　說　明</t>
  </si>
  <si>
    <t>乙、　主　要　表</t>
  </si>
  <si>
    <t>科目</t>
  </si>
  <si>
    <t>金額</t>
  </si>
  <si>
    <t>本年度決算數</t>
  </si>
  <si>
    <t>上年度決算數</t>
  </si>
  <si>
    <t>社會福利基金</t>
  </si>
  <si>
    <t>平　　衡　　表</t>
  </si>
  <si>
    <t>資　　產</t>
  </si>
  <si>
    <t>流動資產</t>
  </si>
  <si>
    <t>　現金</t>
  </si>
  <si>
    <t>　　銀行存款</t>
  </si>
  <si>
    <t>　應收款項</t>
  </si>
  <si>
    <t>　　應收帳款</t>
  </si>
  <si>
    <t>　　應收利息</t>
  </si>
  <si>
    <t>　　其他應收款</t>
  </si>
  <si>
    <t>　準備金</t>
  </si>
  <si>
    <t>　　退休及離職準備金</t>
  </si>
  <si>
    <t>其他資產</t>
  </si>
  <si>
    <t>　什項資產</t>
  </si>
  <si>
    <t>　　催收款項</t>
  </si>
  <si>
    <t>負　　債</t>
  </si>
  <si>
    <t>流動負債</t>
  </si>
  <si>
    <t>　預收款項</t>
  </si>
  <si>
    <t>　　預收收入</t>
  </si>
  <si>
    <t>　　其他預收款</t>
  </si>
  <si>
    <t>其他負債</t>
  </si>
  <si>
    <t>　什項負債</t>
  </si>
  <si>
    <t>　　存入保證金</t>
  </si>
  <si>
    <t>　　應付退休及離職金</t>
  </si>
  <si>
    <t>基金餘額</t>
  </si>
  <si>
    <t xml:space="preserve">    應付款項</t>
  </si>
  <si>
    <t>內  政  部  主  管</t>
  </si>
  <si>
    <t>社  會  福  利  基  金</t>
  </si>
  <si>
    <t>甲、總說明</t>
  </si>
  <si>
    <t>　1.業務計畫實施績效．．．．．．．．．．．．．．．．．．．．．．．．．．．．．．．．．．</t>
  </si>
  <si>
    <t>　2.基金來源、用途及餘絀情形．．．．．．．．．．．．．．．．．．．．．．．．．．．．．．</t>
  </si>
  <si>
    <t>　3.現金流量結果．．．．．．．．．．．．．．．．．．．．．．．．．．．．．．．</t>
  </si>
  <si>
    <t>　4.資產負債情況．．．．．．．．．．．．．．．．．．．．．．．．．．．．．．</t>
  </si>
  <si>
    <t>乙、主要表</t>
  </si>
  <si>
    <t>　1.基金來源、用途及餘絀決算表．．．．．．．．．．．．．．．．．．．．．．．．．．．．．．．．．．</t>
  </si>
  <si>
    <t>　2.現金流量決算表．．．．．．．．．．．．．．．．．．．．．．．．．．．．．．．</t>
  </si>
  <si>
    <t>　3.平衡表．．．．．．．．．．．．．．．．．．．．．．．．．．．．．．．</t>
  </si>
  <si>
    <t>丙、附屬表</t>
  </si>
  <si>
    <t>　1.基金來源明細表．．．．．．．．．．．．．．．．．．．．．．．．．．．．．．．．．．</t>
  </si>
  <si>
    <t>　2.基金用途明細表．．．．．．．．．．．．．．．．．．．．．．．．．．．．．</t>
  </si>
  <si>
    <t xml:space="preserve">        應付代收款</t>
  </si>
  <si>
    <t>兼任人員用人費用</t>
  </si>
  <si>
    <t>超時工
作報酬</t>
  </si>
  <si>
    <t>津貼</t>
  </si>
  <si>
    <t>獎金</t>
  </si>
  <si>
    <t xml:space="preserve">        應付帳款</t>
  </si>
  <si>
    <t>1</t>
  </si>
  <si>
    <t>一般行政管理計畫</t>
  </si>
  <si>
    <t>　　存出保證金</t>
  </si>
  <si>
    <t>　公共關係費</t>
  </si>
  <si>
    <t>　3.固定項目增減情形表．．．．．．．．．．．．．．．．．．．</t>
  </si>
  <si>
    <t>　4.固定資產建設改良擴充明細表．．．．．．．．．．．．．．．．．．．．．．．．．．．．．</t>
  </si>
  <si>
    <t>　5.用人費用彙計表．．．．．．．．．．．．．．．．．．．．．．．．．．．．．</t>
  </si>
  <si>
    <t>　6.員工人數明細表．．．．．．．．．．．．．．．．．．．．．</t>
  </si>
  <si>
    <t>　8.各項費用彙計表．．．．．．．．．．．．．．．．．．．．．．．．．．．．．</t>
  </si>
  <si>
    <t>　9.管制性項目及統計所需項目比較表．．．．．．．．．．．．．．．．．．．．．．．．．．．</t>
  </si>
  <si>
    <t>2</t>
  </si>
  <si>
    <t>本　　頁　　空　　白</t>
  </si>
  <si>
    <t>5</t>
  </si>
  <si>
    <t>　　政府其他撥入收入</t>
  </si>
  <si>
    <t xml:space="preserve">       預付費用</t>
  </si>
  <si>
    <t>　5.固定項目概況．．．．．．．．．．．．．．．．．．．．．．．．．．．．．．．</t>
  </si>
  <si>
    <t>　6.其他．．．．．．．．．．．．．．．．．．．．．．．．．．．．．．．</t>
  </si>
  <si>
    <t>社　會　福　利　基　金</t>
  </si>
  <si>
    <t>基 金 來 源 、 用 途 及 餘 絀 決 算 表</t>
  </si>
  <si>
    <t>單位：新臺幣元</t>
  </si>
  <si>
    <t>科　　　　　目</t>
  </si>
  <si>
    <t>本年度決算數</t>
  </si>
  <si>
    <t>比較增減</t>
  </si>
  <si>
    <t>上年度決算數</t>
  </si>
  <si>
    <t>金　　額</t>
  </si>
  <si>
    <t>％</t>
  </si>
  <si>
    <t>基金來源</t>
  </si>
  <si>
    <t>　　健康福利捐分配收入</t>
  </si>
  <si>
    <t>　　服務收入</t>
  </si>
  <si>
    <t>　　財產處分收入</t>
  </si>
  <si>
    <t>　　租金收入</t>
  </si>
  <si>
    <t>　　利息收入</t>
  </si>
  <si>
    <t>　　國庫撥款收入</t>
  </si>
  <si>
    <t>　　雜項收入</t>
  </si>
  <si>
    <t>基金用途</t>
  </si>
  <si>
    <t>　　購建固定資產</t>
  </si>
  <si>
    <t>　　其他</t>
  </si>
  <si>
    <t>本期賸餘(短絀-)</t>
  </si>
  <si>
    <t>社　會　福　利　基　金</t>
  </si>
  <si>
    <t>單位：新臺幣元</t>
  </si>
  <si>
    <t>項目</t>
  </si>
  <si>
    <t>預算數</t>
  </si>
  <si>
    <t>決算數</t>
  </si>
  <si>
    <t>比較增減</t>
  </si>
  <si>
    <t>金　　額</t>
  </si>
  <si>
    <t>％</t>
  </si>
  <si>
    <t>業務活動之現金流量</t>
  </si>
  <si>
    <t>　　本期賸餘(短絀-)</t>
  </si>
  <si>
    <t>　　調整非現金項目</t>
  </si>
  <si>
    <t>　　　流動資產淨減(淨增-)</t>
  </si>
  <si>
    <t>　　　流動負債淨增(淨減-)</t>
  </si>
  <si>
    <t>其他活動之現金流量</t>
  </si>
  <si>
    <t>　　減少其他資產</t>
  </si>
  <si>
    <t>　　增加短期債務及其他負債</t>
  </si>
  <si>
    <t>　　減少短期債務及其他負債</t>
  </si>
  <si>
    <t>期初現金及約當現金</t>
  </si>
  <si>
    <t>期末現金及約當現金</t>
  </si>
  <si>
    <t>　　應付保管款</t>
  </si>
  <si>
    <t>基　金　來　源　明　細　表</t>
  </si>
  <si>
    <t>決算數</t>
  </si>
  <si>
    <t>備註</t>
  </si>
  <si>
    <t>社　會　福　利　基　金</t>
  </si>
  <si>
    <t>基　金　用　途　明　細　表</t>
  </si>
  <si>
    <t>單位：新臺幣元</t>
  </si>
  <si>
    <t>科目</t>
  </si>
  <si>
    <t>決算數</t>
  </si>
  <si>
    <t>比較增減</t>
  </si>
  <si>
    <t>備註</t>
  </si>
  <si>
    <t>金　　額</t>
  </si>
  <si>
    <t>％</t>
  </si>
  <si>
    <t>　　購置無形資產</t>
  </si>
  <si>
    <t>固　定　項　目　增　減　情　形　表</t>
  </si>
  <si>
    <t>項目</t>
  </si>
  <si>
    <t>期初餘額</t>
  </si>
  <si>
    <t>本年度增加數</t>
  </si>
  <si>
    <t>本年度減少數</t>
  </si>
  <si>
    <t>期末餘額</t>
  </si>
  <si>
    <t>資產</t>
  </si>
  <si>
    <t>固定資產建設改良擴充明細表</t>
  </si>
  <si>
    <t>可用預算數</t>
  </si>
  <si>
    <t>比較增減數</t>
  </si>
  <si>
    <t>以前年度
保留數</t>
  </si>
  <si>
    <t>本年度
預算數</t>
  </si>
  <si>
    <t>本年度奉准
先行辦理數</t>
  </si>
  <si>
    <t>調整數</t>
  </si>
  <si>
    <t>合計</t>
  </si>
  <si>
    <t>社　會　福　利　基　金</t>
  </si>
  <si>
    <t>貨幣單位：新臺幣元</t>
  </si>
  <si>
    <t>項目</t>
  </si>
  <si>
    <t>數量單位</t>
  </si>
  <si>
    <t>預算數</t>
  </si>
  <si>
    <t>決算數</t>
  </si>
  <si>
    <t>比較增減</t>
  </si>
  <si>
    <t>備註</t>
  </si>
  <si>
    <t>數量</t>
  </si>
  <si>
    <t>金額</t>
  </si>
  <si>
    <t>％</t>
  </si>
  <si>
    <t>社　會　福　利　基　金</t>
  </si>
  <si>
    <t>各　項　費　用　彙　計　表</t>
  </si>
  <si>
    <t>單位：新臺幣元</t>
  </si>
  <si>
    <t>科目名稱</t>
  </si>
  <si>
    <t>決算數</t>
  </si>
  <si>
    <t>比較增減</t>
  </si>
  <si>
    <t>金　　額</t>
  </si>
  <si>
    <t>％</t>
  </si>
  <si>
    <t>用人費用</t>
  </si>
  <si>
    <t>　正式員額薪資</t>
  </si>
  <si>
    <t>　聘僱及兼職人員薪資</t>
  </si>
  <si>
    <t>　超時工作報酬</t>
  </si>
  <si>
    <t>　獎金</t>
  </si>
  <si>
    <t>　退休及卹償金</t>
  </si>
  <si>
    <t>　福利費</t>
  </si>
  <si>
    <t xml:space="preserve">服務費用 </t>
  </si>
  <si>
    <t>　水電費</t>
  </si>
  <si>
    <t>　郵電費</t>
  </si>
  <si>
    <t>　旅運費</t>
  </si>
  <si>
    <t>　印刷裝訂與廣告費</t>
  </si>
  <si>
    <t>　修理保養及保固費</t>
  </si>
  <si>
    <t xml:space="preserve">   保險費</t>
  </si>
  <si>
    <t>　一般服務費</t>
  </si>
  <si>
    <t>　專業服務費</t>
  </si>
  <si>
    <t>　公共關係費</t>
  </si>
  <si>
    <t>材料及用品費</t>
  </si>
  <si>
    <t>　使用材料費</t>
  </si>
  <si>
    <t>　用品消耗</t>
  </si>
  <si>
    <t>租金、償債與利息</t>
  </si>
  <si>
    <t>　地租及水租</t>
  </si>
  <si>
    <t>　房租</t>
  </si>
  <si>
    <t>　機器租金</t>
  </si>
  <si>
    <t>　交通及運輸設備租金</t>
  </si>
  <si>
    <t>　什項設備租金</t>
  </si>
  <si>
    <t>　購置固定資產</t>
  </si>
  <si>
    <t>　購置無形資產</t>
  </si>
  <si>
    <t>稅捐、規費（強制費）與繳庫</t>
  </si>
  <si>
    <t>　消費與行為稅</t>
  </si>
  <si>
    <t>　規費</t>
  </si>
  <si>
    <t>會費、捐助、補助、分攤、照護、救濟與交流活動費</t>
  </si>
  <si>
    <t>　會費</t>
  </si>
  <si>
    <t>　捐助、補助與獎助</t>
  </si>
  <si>
    <t>其他</t>
  </si>
  <si>
    <t>　其他支出</t>
  </si>
  <si>
    <t>合計</t>
  </si>
  <si>
    <t>管制性項目及統計所需項目比較表</t>
  </si>
  <si>
    <t>單位：新臺幣元</t>
  </si>
  <si>
    <t>科目名稱</t>
  </si>
  <si>
    <t>金　　額</t>
  </si>
  <si>
    <t>管制性項目</t>
  </si>
  <si>
    <t>　國外旅費</t>
  </si>
  <si>
    <t>　廣告費</t>
  </si>
  <si>
    <t>　業務宣導費</t>
  </si>
  <si>
    <t>統計所需項目</t>
  </si>
  <si>
    <t>　宿舍電費</t>
  </si>
  <si>
    <t>　宿舍水費</t>
  </si>
  <si>
    <t>　員工通勤交通費</t>
  </si>
  <si>
    <t>　宿舍修護費</t>
  </si>
  <si>
    <t>　宿舍保險費</t>
  </si>
  <si>
    <t>　義工服務費</t>
  </si>
  <si>
    <t>　專技人員酬金</t>
  </si>
  <si>
    <t>　講課鐘點、稿費、出席審查及查詢費</t>
  </si>
  <si>
    <t>　商品</t>
  </si>
  <si>
    <t>　一般土地租金</t>
  </si>
  <si>
    <t>　宿舍基地租金</t>
  </si>
  <si>
    <t>　購置電腦軟體</t>
  </si>
  <si>
    <t>　土地增值稅</t>
  </si>
  <si>
    <t>　宿舍基地地價稅</t>
  </si>
  <si>
    <t>　宿舍房屋稅</t>
  </si>
  <si>
    <t>　關稅</t>
  </si>
  <si>
    <t>　貨物稅</t>
  </si>
  <si>
    <t>　證券交易稅</t>
  </si>
  <si>
    <t>　商港服務費</t>
  </si>
  <si>
    <t>　捐助私校及團體</t>
  </si>
  <si>
    <t>　補（協）助政府機關（構）</t>
  </si>
  <si>
    <t>　捐助國外團體</t>
  </si>
  <si>
    <t>　磅差</t>
  </si>
  <si>
    <t>　運輸及搬運短絀</t>
  </si>
  <si>
    <t>　停工短絀</t>
  </si>
  <si>
    <t>　損壞工作</t>
  </si>
  <si>
    <t>　災害短絀</t>
  </si>
  <si>
    <t>　未足額進用殘障人員差額補助費</t>
  </si>
  <si>
    <t>主要業務計畫執行績效摘要表</t>
  </si>
  <si>
    <t>　　　提存呆帳</t>
  </si>
  <si>
    <t>4</t>
  </si>
  <si>
    <t>　7.主要業務計畫執行績效摘要表．．．．．．．．．．．．．．．．．．．．．．．．</t>
  </si>
  <si>
    <t>　　　其他</t>
  </si>
  <si>
    <t>福利服務計畫</t>
  </si>
  <si>
    <t>人</t>
  </si>
  <si>
    <t>　土地</t>
  </si>
  <si>
    <t>　土地改良物</t>
  </si>
  <si>
    <t>　房屋及建築</t>
  </si>
  <si>
    <t>　機械及設備</t>
  </si>
  <si>
    <t>　交通及運輸設備</t>
  </si>
  <si>
    <t>　什項設備</t>
  </si>
  <si>
    <t>　購建中固定資產</t>
  </si>
  <si>
    <t>　電腦軟體</t>
  </si>
  <si>
    <t>　權利</t>
  </si>
  <si>
    <t>　遞耗資產</t>
  </si>
  <si>
    <t>　其他</t>
  </si>
  <si>
    <t>負債</t>
  </si>
  <si>
    <t>　長期債務</t>
  </si>
  <si>
    <t>土地</t>
  </si>
  <si>
    <t>土地改良物</t>
  </si>
  <si>
    <t>房屋及建築</t>
  </si>
  <si>
    <t>機械及設備</t>
  </si>
  <si>
    <t>交通及運輸設備</t>
  </si>
  <si>
    <t>什項設備</t>
  </si>
  <si>
    <t>合　　　　　計</t>
  </si>
  <si>
    <t>現　金　流　量　決　算　表</t>
  </si>
  <si>
    <t>本年度可用預算數</t>
  </si>
  <si>
    <t>　兼任人員</t>
  </si>
  <si>
    <t>可用預算數</t>
  </si>
  <si>
    <t>公彩回饋推展社福計畫</t>
  </si>
  <si>
    <t>可用預算數</t>
  </si>
  <si>
    <t>　　應收票據</t>
  </si>
  <si>
    <t>　　備抵呆帳－催收款項(-)</t>
  </si>
  <si>
    <t>投資、長期應收款項、貸墊款及準備金</t>
  </si>
  <si>
    <t>預決算數差異原因：</t>
  </si>
  <si>
    <t>托兒業務計畫</t>
  </si>
  <si>
    <t>4</t>
  </si>
  <si>
    <t>康  勝  松</t>
  </si>
  <si>
    <t>主  辦  會  計  人  員 ：</t>
  </si>
  <si>
    <t>基    金    主    持   人：</t>
  </si>
  <si>
    <t>所屬中區兒童之家場地租借中華電信。</t>
  </si>
  <si>
    <t>20</t>
  </si>
  <si>
    <t>　徵收及依法分配收入</t>
  </si>
  <si>
    <t>期初基金餘額</t>
  </si>
  <si>
    <t>員　工　人　數　彙　計　表</t>
  </si>
  <si>
    <t>　基金餘額</t>
  </si>
  <si>
    <t>　　 累積餘額</t>
  </si>
  <si>
    <t>　政府其他撥入收入</t>
  </si>
  <si>
    <t>社　　會　　福　 　利　　基　　金</t>
  </si>
  <si>
    <t>4</t>
  </si>
  <si>
    <t>　非理財目的之
    長期投資</t>
  </si>
  <si>
    <t>　補貼（償）、獎勵、慰問、照護
   與救濟</t>
  </si>
  <si>
    <t>國庫署撥入菸品健康捐受配額收入增加。</t>
  </si>
  <si>
    <t>購建固定資產、無形資產及非理
財目的之長期投資</t>
  </si>
  <si>
    <t>　計時與計件人員酬金</t>
  </si>
  <si>
    <t>總計</t>
  </si>
  <si>
    <t>　管委會委員</t>
  </si>
  <si>
    <t>期末基金餘額</t>
  </si>
  <si>
    <t>本年度
保留數</t>
  </si>
  <si>
    <t>中華民國100年度</t>
  </si>
  <si>
    <r>
      <t>中華民國100年度</t>
    </r>
    <r>
      <rPr>
        <sz val="20"/>
        <rFont val="標楷體"/>
        <family val="4"/>
      </rPr>
      <t xml:space="preserve">
</t>
    </r>
    <r>
      <rPr>
        <sz val="16"/>
        <rFont val="標楷體"/>
        <family val="4"/>
      </rPr>
      <t>（100年1月1日至100年12月31日）</t>
    </r>
  </si>
  <si>
    <t>中華民國100年度</t>
  </si>
  <si>
    <t>中華民國100年度</t>
  </si>
  <si>
    <t>中華民國100年 12 月 31 日</t>
  </si>
  <si>
    <t>中華民國100 年 12 月 31 日</t>
  </si>
  <si>
    <t>中華民國100年度</t>
  </si>
  <si>
    <t>中華民國100年度</t>
  </si>
  <si>
    <t>福利服務計畫可用預算數1,633,674,000元，包含以前年度保留數3,240,000元、本年度預算數1,646,835,000元及扣除已奉准於以前年度先行辦理數16,401,000元。</t>
  </si>
  <si>
    <t>　駐衛警</t>
  </si>
  <si>
    <t>　駕駛</t>
  </si>
  <si>
    <t>　技工</t>
  </si>
  <si>
    <t>　聘用</t>
  </si>
  <si>
    <t>　約僱</t>
  </si>
  <si>
    <t>目　　　　　　　次</t>
  </si>
  <si>
    <r>
      <t>一、所屬東區老人之家依公務人員留職停薪辦法第8條規定僱用職務代理人1人。另經行政院人事行政局100.09.05局力字第1000049898號函同意列為考試分發職缺，並依各機關職務代理應行注意事項第5點僱用職務代理人1人。
二、所屬臺南教養院經行政院人事行政局99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24局力字第0990067541號函同意列為考試分發職缺，並依各機關職務代理應行注意事項第5點僱用職務代理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人。復依本部100.12.8台內人字第10002402351號函以，4等考試未獲分配正額錄取人員之職缺部分，則由本部逕予列管為增額錄取分配之職缺，該職缺如有約僱人員，得繼續僱至增額錄取人員報到前1日止。</t>
    </r>
  </si>
  <si>
    <t>各項工程依約辦理保留至下年度執行。</t>
  </si>
  <si>
    <t>興建工程依約辦理保留至下年度執行。</t>
  </si>
  <si>
    <t>各項開支本撙節原則，致經費賸餘。</t>
  </si>
  <si>
    <t>銀行調升存款利率致收入超收。</t>
  </si>
  <si>
    <t>主要係以前年度公彩回饋金補助計畫執行賸餘款、所屬機構受贈收入及各項雜項收入增加所致。</t>
  </si>
  <si>
    <t>註：1.本基金內計有信託代理與保證資產(負債)性質之科目，本年度決算為287,645,753元，上年度決算為281,287,588元。
　　2.本基金內計有追索債權179案，每案以1元計列登錄於備查帳。　　　</t>
  </si>
  <si>
    <t>李  鴻  源</t>
  </si>
  <si>
    <t>預決算數差異原因：</t>
  </si>
  <si>
    <t>所屬機構變賣報廢財產收入。</t>
  </si>
  <si>
    <t>　　    減少其他資產</t>
  </si>
  <si>
    <t>　　    減少其他負債</t>
  </si>
  <si>
    <t>　　    增加其他負債</t>
  </si>
  <si>
    <t>　   其他活動之淨現金流入(流出-)</t>
  </si>
  <si>
    <t>預、決算數增減超過10%，係因補助計畫未執行完成部分，以預付費用列帳，未計入決算數。</t>
  </si>
  <si>
    <t>收容人數預、決算增減超過10%，主要係因政府推動在地老化政策及社區關懷據點，影響長者入住機構之意願，致所屬老人之家收容人數未如預期。</t>
  </si>
  <si>
    <t>元</t>
  </si>
  <si>
    <t>　勞務收入</t>
  </si>
  <si>
    <t>　財產收入</t>
  </si>
  <si>
    <t>　政府撥入收入</t>
  </si>
  <si>
    <t>　其他收入</t>
  </si>
  <si>
    <t>　福利服務計畫</t>
  </si>
  <si>
    <t>　托兒業務計畫</t>
  </si>
  <si>
    <t>　公彩回饋推展社福計畫</t>
  </si>
  <si>
    <t>　老人福利機構多機能綜
   合服務計畫</t>
  </si>
  <si>
    <t>　獨立生活學習家園大樓
   興建計畫</t>
  </si>
  <si>
    <t>　一般行政管理計畫</t>
  </si>
  <si>
    <t xml:space="preserve">   　業務活動之淨現金流入(流出-)</t>
  </si>
  <si>
    <t>現金及約當現金之淨增(淨減-)</t>
  </si>
  <si>
    <t xml:space="preserve">   預付款項</t>
  </si>
  <si>
    <t>基金來源</t>
  </si>
  <si>
    <t xml:space="preserve">  徵收及依法分配收入</t>
  </si>
  <si>
    <t>　  健康福利捐分配收入</t>
  </si>
  <si>
    <t xml:space="preserve">  勞務收入</t>
  </si>
  <si>
    <t>　  服務收入</t>
  </si>
  <si>
    <t xml:space="preserve">  財產收入</t>
  </si>
  <si>
    <t>　  財產處分收入</t>
  </si>
  <si>
    <t>　  租金收入</t>
  </si>
  <si>
    <t>　  利息收入</t>
  </si>
  <si>
    <t xml:space="preserve">  政府撥入收入</t>
  </si>
  <si>
    <t>　  國庫撥款收入</t>
  </si>
  <si>
    <t xml:space="preserve">  其他收入</t>
  </si>
  <si>
    <t>　  雜項收入</t>
  </si>
  <si>
    <t>基金用途</t>
  </si>
  <si>
    <t xml:space="preserve">  福利服務計畫</t>
  </si>
  <si>
    <t>　　  正式員額薪資</t>
  </si>
  <si>
    <t>　  　聘僱及兼職人員薪資</t>
  </si>
  <si>
    <t>　　  超時工作報酬</t>
  </si>
  <si>
    <t>　  　獎金</t>
  </si>
  <si>
    <t>　　  退休及卹償金</t>
  </si>
  <si>
    <t>　　  福利費</t>
  </si>
  <si>
    <t>　  　水電費</t>
  </si>
  <si>
    <t>　  　郵電費</t>
  </si>
  <si>
    <t>　  　旅運費</t>
  </si>
  <si>
    <t>　  　印刷裝訂與廣告費</t>
  </si>
  <si>
    <t>　　  修理保養及保固費</t>
  </si>
  <si>
    <t xml:space="preserve">         保險費</t>
  </si>
  <si>
    <t>　　  一般服務費</t>
  </si>
  <si>
    <t>　  　專業服務費</t>
  </si>
  <si>
    <t>　  　公共關係費</t>
  </si>
  <si>
    <t>　  　使用材料費</t>
  </si>
  <si>
    <t xml:space="preserve">  　　用品消耗</t>
  </si>
  <si>
    <t>　  　地租及水租</t>
  </si>
  <si>
    <t>　  　房租</t>
  </si>
  <si>
    <t xml:space="preserve">  　　機器租金</t>
  </si>
  <si>
    <t>　  　交通及運輸設備租金</t>
  </si>
  <si>
    <t>　  　什項設備租金</t>
  </si>
  <si>
    <t>　  購建固定資產、無形資產
     及非理財目的之長期投資</t>
  </si>
  <si>
    <t>　　  購置固定資產</t>
  </si>
  <si>
    <t>　  　消費與行為稅</t>
  </si>
  <si>
    <t>　  　規費</t>
  </si>
  <si>
    <t>　  　會費</t>
  </si>
  <si>
    <t>　　  捐助、補助與獎助</t>
  </si>
  <si>
    <t>　  　補貼（償）、獎勵、慰
　  　問、照護與救濟</t>
  </si>
  <si>
    <t>　  　其他支出</t>
  </si>
  <si>
    <t xml:space="preserve">  托兒業務計畫</t>
  </si>
  <si>
    <t>　　  獎金</t>
  </si>
  <si>
    <t>　  　福利費</t>
  </si>
  <si>
    <t>　　  用品消耗</t>
  </si>
  <si>
    <t>　　  會費</t>
  </si>
  <si>
    <t xml:space="preserve">  公彩回饋推展社福計畫</t>
  </si>
  <si>
    <t xml:space="preserve">  獨立生活學習家園大樓興
  建計畫</t>
  </si>
  <si>
    <t xml:space="preserve">  老人福利機構多機能綜合
  服務計畫</t>
  </si>
  <si>
    <t xml:space="preserve">  一般行政管理計畫</t>
  </si>
  <si>
    <t xml:space="preserve">         水電費</t>
  </si>
  <si>
    <t>　　  旅運費</t>
  </si>
  <si>
    <t>　　  印刷裝訂與廣告費</t>
  </si>
  <si>
    <t>　  　用品消耗</t>
  </si>
  <si>
    <t>　  用人費用</t>
  </si>
  <si>
    <t>　  服務費用</t>
  </si>
  <si>
    <t xml:space="preserve">  　材料及用品費</t>
  </si>
  <si>
    <t xml:space="preserve">  　租金、償債與利息</t>
  </si>
  <si>
    <t>　  稅捐、規費（強制費）與
　  繳庫</t>
  </si>
  <si>
    <t>　  會費、捐助、補助、分攤
  　照護、救濟與交流活動費</t>
  </si>
  <si>
    <t>　  其他</t>
  </si>
  <si>
    <t xml:space="preserve">  　服務費用</t>
  </si>
  <si>
    <t>　  會費、捐助、補助、分攤
　  照護、救濟與交流活動費</t>
  </si>
  <si>
    <t>　  　 購置固定資產</t>
  </si>
  <si>
    <t>　   　購置固定資產</t>
  </si>
  <si>
    <t xml:space="preserve">  　用人費用</t>
  </si>
  <si>
    <t>　  材料及用品費</t>
  </si>
  <si>
    <t>補助計畫未執行完成部分，以預付費用列帳，未計入決算數。</t>
  </si>
  <si>
    <t>7</t>
  </si>
  <si>
    <t>8</t>
  </si>
  <si>
    <t>10</t>
  </si>
  <si>
    <t>13</t>
  </si>
  <si>
    <t>14</t>
  </si>
  <si>
    <t>18</t>
  </si>
  <si>
    <t>22</t>
  </si>
  <si>
    <t>23</t>
  </si>
  <si>
    <t>24</t>
  </si>
  <si>
    <t>26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</si>
</sst>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#,##0.00_ "/>
    <numFmt numFmtId="178" formatCode="0.0%"/>
    <numFmt numFmtId="179" formatCode="0_ "/>
    <numFmt numFmtId="180" formatCode="#,##0_ "/>
    <numFmt numFmtId="181" formatCode="#,##0.00_);[Red]\(#,##0.00\)"/>
    <numFmt numFmtId="182" formatCode="m&quot;月&quot;d&quot;日&quot;"/>
    <numFmt numFmtId="183" formatCode="#,##0.000_ "/>
    <numFmt numFmtId="184" formatCode="#,##0.0000_ "/>
    <numFmt numFmtId="185" formatCode="#,##0.0_ "/>
    <numFmt numFmtId="186" formatCode="0.0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0_);[Red]\(0.00\)"/>
    <numFmt numFmtId="191" formatCode="[$-404]AM/PM\ hh:mm:ss"/>
    <numFmt numFmtId="192" formatCode="_-* #,##0.0_-;\-* #,##0.0_-;_-* &quot;-&quot;_-;_-@_-"/>
    <numFmt numFmtId="193" formatCode="_-* #,##0.00_-;\-* #,##0.00_-;_-* &quot;-&quot;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_);[Red]\(#,##0\)"/>
    <numFmt numFmtId="203" formatCode="#,##0;[Red]#,##0"/>
    <numFmt numFmtId="204" formatCode="_(* #,##0.0_);_(* \(#,##0.0\);_(* &quot;-&quot;??_);_(@_)"/>
    <numFmt numFmtId="205" formatCode="_(* #,##0_);_(* \(#,##0\);_(* &quot;-&quot;??_);_(@_)"/>
    <numFmt numFmtId="206" formatCode="0.0_ "/>
    <numFmt numFmtId="207" formatCode="_-* #,##0.0_-;\-* #,##0.0_-;_-* &quot;-&quot;??_-;_-@_-"/>
    <numFmt numFmtId="208" formatCode="_-* #,##0_-;\-* #,##0_-;_-* &quot;-&quot;??_-;_-@_-"/>
    <numFmt numFmtId="209" formatCode="#,##0.0_);[Red]\(#,##0.0\)"/>
    <numFmt numFmtId="210" formatCode="#,##0.000_);[Red]\(#,##0.000\)"/>
  </numFmts>
  <fonts count="36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b/>
      <u val="single"/>
      <sz val="14"/>
      <name val="Times New Roman"/>
      <family val="1"/>
    </font>
    <font>
      <b/>
      <sz val="36"/>
      <name val="新細明體"/>
      <family val="1"/>
    </font>
    <font>
      <sz val="36"/>
      <name val="新細明體"/>
      <family val="1"/>
    </font>
    <font>
      <sz val="20"/>
      <name val="新細明體"/>
      <family val="1"/>
    </font>
    <font>
      <u val="single"/>
      <sz val="20"/>
      <name val="新細明體"/>
      <family val="1"/>
    </font>
    <font>
      <sz val="26"/>
      <name val="新細明體"/>
      <family val="1"/>
    </font>
    <font>
      <sz val="14"/>
      <name val="新細明體"/>
      <family val="1"/>
    </font>
    <font>
      <b/>
      <sz val="14"/>
      <name val="新細明體"/>
      <family val="1"/>
    </font>
    <font>
      <u val="single"/>
      <sz val="18"/>
      <name val="新細明體"/>
      <family val="1"/>
    </font>
    <font>
      <sz val="18"/>
      <name val="新細明體"/>
      <family val="1"/>
    </font>
    <font>
      <sz val="16"/>
      <name val="新細明體"/>
      <family val="1"/>
    </font>
    <font>
      <u val="single"/>
      <sz val="22"/>
      <name val="新細明體"/>
      <family val="1"/>
    </font>
    <font>
      <sz val="22"/>
      <name val="新細明體"/>
      <family val="1"/>
    </font>
    <font>
      <sz val="20"/>
      <name val="標楷體"/>
      <family val="4"/>
    </font>
    <font>
      <sz val="40"/>
      <name val="標楷體"/>
      <family val="4"/>
    </font>
    <font>
      <sz val="3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6"/>
      <name val="標楷體"/>
      <family val="4"/>
    </font>
    <font>
      <b/>
      <sz val="16"/>
      <name val="新細明體"/>
      <family val="1"/>
    </font>
    <font>
      <sz val="22"/>
      <name val="標楷體"/>
      <family val="4"/>
    </font>
    <font>
      <sz val="34"/>
      <name val="標楷體"/>
      <family val="4"/>
    </font>
    <font>
      <sz val="24"/>
      <name val="標楷體"/>
      <family val="4"/>
    </font>
    <font>
      <sz val="16"/>
      <name val="標楷體"/>
      <family val="4"/>
    </font>
    <font>
      <b/>
      <sz val="22"/>
      <name val="新細明體"/>
      <family val="1"/>
    </font>
    <font>
      <sz val="14"/>
      <color indexed="8"/>
      <name val="新細明體"/>
      <family val="1"/>
    </font>
    <font>
      <b/>
      <sz val="14"/>
      <color indexed="8"/>
      <name val="新細明體"/>
      <family val="1"/>
    </font>
    <font>
      <sz val="16"/>
      <color indexed="8"/>
      <name val="新細明體"/>
      <family val="1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b/>
      <sz val="12"/>
      <name val="新細明體"/>
      <family val="1"/>
    </font>
    <font>
      <b/>
      <sz val="12"/>
      <color indexed="8"/>
      <name val="新細明體"/>
      <family val="1"/>
    </font>
    <font>
      <sz val="14"/>
      <color indexed="10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1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177" fontId="9" fillId="0" borderId="2" xfId="0" applyNumberFormat="1" applyFont="1" applyBorder="1" applyAlignment="1">
      <alignment vertical="center"/>
    </xf>
    <xf numFmtId="177" fontId="9" fillId="0" borderId="0" xfId="0" applyNumberFormat="1" applyFont="1" applyAlignment="1">
      <alignment vertical="center"/>
    </xf>
    <xf numFmtId="0" fontId="9" fillId="0" borderId="1" xfId="0" applyFont="1" applyBorder="1" applyAlignment="1">
      <alignment horizontal="distributed" vertical="center" wrapText="1"/>
    </xf>
    <xf numFmtId="0" fontId="13" fillId="0" borderId="0" xfId="0" applyFont="1" applyAlignment="1">
      <alignment vertical="center"/>
    </xf>
    <xf numFmtId="0" fontId="13" fillId="0" borderId="1" xfId="0" applyFont="1" applyBorder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180" fontId="9" fillId="0" borderId="2" xfId="0" applyNumberFormat="1" applyFont="1" applyBorder="1" applyAlignment="1">
      <alignment vertical="top"/>
    </xf>
    <xf numFmtId="177" fontId="9" fillId="0" borderId="2" xfId="0" applyNumberFormat="1" applyFont="1" applyBorder="1" applyAlignment="1">
      <alignment vertical="top"/>
    </xf>
    <xf numFmtId="0" fontId="13" fillId="0" borderId="2" xfId="0" applyFont="1" applyBorder="1" applyAlignment="1">
      <alignment vertical="top"/>
    </xf>
    <xf numFmtId="180" fontId="13" fillId="0" borderId="2" xfId="0" applyNumberFormat="1" applyFont="1" applyBorder="1" applyAlignment="1">
      <alignment vertical="top"/>
    </xf>
    <xf numFmtId="177" fontId="13" fillId="0" borderId="2" xfId="0" applyNumberFormat="1" applyFont="1" applyBorder="1" applyAlignment="1">
      <alignment vertical="top"/>
    </xf>
    <xf numFmtId="0" fontId="0" fillId="0" borderId="0" xfId="0" applyFont="1" applyAlignment="1">
      <alignment vertical="center"/>
    </xf>
    <xf numFmtId="41" fontId="9" fillId="0" borderId="2" xfId="0" applyNumberFormat="1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distributed" vertical="top"/>
    </xf>
    <xf numFmtId="0" fontId="15" fillId="0" borderId="0" xfId="0" applyFont="1" applyAlignment="1">
      <alignment horizontal="distributed"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3" xfId="0" applyFont="1" applyBorder="1" applyAlignment="1">
      <alignment horizontal="distributed" vertical="center" wrapText="1"/>
    </xf>
    <xf numFmtId="0" fontId="9" fillId="0" borderId="3" xfId="0" applyFont="1" applyBorder="1" applyAlignment="1">
      <alignment horizontal="distributed" vertical="center"/>
    </xf>
    <xf numFmtId="0" fontId="13" fillId="0" borderId="1" xfId="0" applyFont="1" applyBorder="1" applyAlignment="1">
      <alignment horizontal="center" vertical="center" textRotation="255"/>
    </xf>
    <xf numFmtId="0" fontId="13" fillId="0" borderId="1" xfId="0" applyFont="1" applyBorder="1" applyAlignment="1">
      <alignment horizontal="center" vertical="top" textRotation="255"/>
    </xf>
    <xf numFmtId="0" fontId="10" fillId="0" borderId="0" xfId="0" applyFont="1" applyAlignment="1">
      <alignment vertical="center"/>
    </xf>
    <xf numFmtId="0" fontId="9" fillId="0" borderId="4" xfId="0" applyFont="1" applyBorder="1" applyAlignment="1">
      <alignment horizontal="distributed" vertical="center"/>
    </xf>
    <xf numFmtId="0" fontId="10" fillId="0" borderId="5" xfId="0" applyFont="1" applyBorder="1" applyAlignment="1">
      <alignment vertical="center"/>
    </xf>
    <xf numFmtId="177" fontId="9" fillId="0" borderId="6" xfId="0" applyNumberFormat="1" applyFont="1" applyBorder="1" applyAlignment="1">
      <alignment vertical="center"/>
    </xf>
    <xf numFmtId="0" fontId="9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177" fontId="10" fillId="0" borderId="3" xfId="0" applyNumberFormat="1" applyFont="1" applyBorder="1" applyAlignment="1">
      <alignment vertical="center"/>
    </xf>
    <xf numFmtId="177" fontId="10" fillId="0" borderId="9" xfId="0" applyNumberFormat="1" applyFont="1" applyBorder="1" applyAlignment="1">
      <alignment vertical="center"/>
    </xf>
    <xf numFmtId="177" fontId="10" fillId="0" borderId="2" xfId="0" applyNumberFormat="1" applyFont="1" applyBorder="1" applyAlignment="1">
      <alignment vertical="center"/>
    </xf>
    <xf numFmtId="177" fontId="10" fillId="0" borderId="6" xfId="0" applyNumberFormat="1" applyFont="1" applyBorder="1" applyAlignment="1">
      <alignment vertical="center"/>
    </xf>
    <xf numFmtId="0" fontId="9" fillId="0" borderId="7" xfId="0" applyFont="1" applyBorder="1" applyAlignment="1">
      <alignment vertical="center"/>
    </xf>
    <xf numFmtId="177" fontId="10" fillId="0" borderId="10" xfId="0" applyNumberFormat="1" applyFont="1" applyBorder="1" applyAlignment="1">
      <alignment vertical="center"/>
    </xf>
    <xf numFmtId="177" fontId="10" fillId="0" borderId="11" xfId="0" applyNumberFormat="1" applyFont="1" applyBorder="1" applyAlignment="1">
      <alignment vertical="center"/>
    </xf>
    <xf numFmtId="0" fontId="9" fillId="0" borderId="12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16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7" xfId="0" applyFont="1" applyBorder="1" applyAlignment="1">
      <alignment horizontal="left" vertical="top" wrapText="1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vertical="top"/>
    </xf>
    <xf numFmtId="180" fontId="9" fillId="0" borderId="7" xfId="0" applyNumberFormat="1" applyFont="1" applyBorder="1" applyAlignment="1">
      <alignment vertical="top" wrapText="1"/>
    </xf>
    <xf numFmtId="180" fontId="9" fillId="0" borderId="7" xfId="0" applyNumberFormat="1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9" fillId="0" borderId="7" xfId="0" applyFont="1" applyBorder="1" applyAlignment="1">
      <alignment vertical="top" wrapText="1"/>
    </xf>
    <xf numFmtId="0" fontId="9" fillId="0" borderId="8" xfId="0" applyFont="1" applyBorder="1" applyAlignment="1">
      <alignment vertical="center"/>
    </xf>
    <xf numFmtId="0" fontId="9" fillId="0" borderId="7" xfId="0" applyFont="1" applyBorder="1" applyAlignment="1">
      <alignment horizontal="left" vertical="top"/>
    </xf>
    <xf numFmtId="0" fontId="10" fillId="0" borderId="5" xfId="0" applyFont="1" applyBorder="1" applyAlignment="1">
      <alignment vertical="top"/>
    </xf>
    <xf numFmtId="177" fontId="9" fillId="0" borderId="9" xfId="0" applyNumberFormat="1" applyFont="1" applyBorder="1" applyAlignment="1">
      <alignment vertical="top" wrapText="1"/>
    </xf>
    <xf numFmtId="177" fontId="9" fillId="0" borderId="6" xfId="0" applyNumberFormat="1" applyFont="1" applyBorder="1" applyAlignment="1">
      <alignment vertical="top"/>
    </xf>
    <xf numFmtId="0" fontId="10" fillId="0" borderId="7" xfId="0" applyFont="1" applyBorder="1" applyAlignment="1">
      <alignment vertical="top"/>
    </xf>
    <xf numFmtId="0" fontId="10" fillId="0" borderId="1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7" xfId="0" applyFont="1" applyBorder="1" applyAlignment="1">
      <alignment horizontal="distributed" vertical="center"/>
    </xf>
    <xf numFmtId="0" fontId="10" fillId="0" borderId="8" xfId="0" applyFont="1" applyBorder="1" applyAlignment="1">
      <alignment horizontal="distributed" vertical="center"/>
    </xf>
    <xf numFmtId="0" fontId="10" fillId="0" borderId="5" xfId="0" applyFont="1" applyBorder="1" applyAlignment="1">
      <alignment horizontal="left" vertical="top"/>
    </xf>
    <xf numFmtId="177" fontId="10" fillId="0" borderId="3" xfId="0" applyNumberFormat="1" applyFont="1" applyBorder="1" applyAlignment="1">
      <alignment vertical="top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10" fillId="0" borderId="7" xfId="0" applyFont="1" applyBorder="1" applyAlignment="1">
      <alignment horizontal="left" vertical="top" wrapText="1"/>
    </xf>
    <xf numFmtId="177" fontId="10" fillId="0" borderId="2" xfId="0" applyNumberFormat="1" applyFont="1" applyBorder="1" applyAlignment="1">
      <alignment vertical="top"/>
    </xf>
    <xf numFmtId="180" fontId="10" fillId="0" borderId="7" xfId="0" applyNumberFormat="1" applyFont="1" applyBorder="1" applyAlignment="1">
      <alignment vertical="top"/>
    </xf>
    <xf numFmtId="0" fontId="10" fillId="0" borderId="8" xfId="0" applyFont="1" applyBorder="1" applyAlignment="1">
      <alignment horizontal="center" vertical="top"/>
    </xf>
    <xf numFmtId="177" fontId="10" fillId="0" borderId="10" xfId="0" applyNumberFormat="1" applyFont="1" applyBorder="1" applyAlignment="1">
      <alignment vertical="top"/>
    </xf>
    <xf numFmtId="0" fontId="10" fillId="0" borderId="7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horizontal="left" vertical="top"/>
    </xf>
    <xf numFmtId="41" fontId="10" fillId="0" borderId="3" xfId="0" applyNumberFormat="1" applyFont="1" applyBorder="1" applyAlignment="1">
      <alignment vertical="top"/>
    </xf>
    <xf numFmtId="0" fontId="10" fillId="0" borderId="0" xfId="0" applyFont="1" applyAlignment="1">
      <alignment horizontal="center" vertical="center"/>
    </xf>
    <xf numFmtId="41" fontId="10" fillId="0" borderId="2" xfId="0" applyNumberFormat="1" applyFont="1" applyBorder="1" applyAlignment="1">
      <alignment vertical="top"/>
    </xf>
    <xf numFmtId="177" fontId="10" fillId="0" borderId="6" xfId="0" applyNumberFormat="1" applyFont="1" applyBorder="1" applyAlignment="1">
      <alignment vertical="top"/>
    </xf>
    <xf numFmtId="0" fontId="10" fillId="0" borderId="8" xfId="0" applyFont="1" applyBorder="1" applyAlignment="1">
      <alignment horizontal="distributed" vertical="top"/>
    </xf>
    <xf numFmtId="177" fontId="10" fillId="0" borderId="11" xfId="0" applyNumberFormat="1" applyFont="1" applyBorder="1" applyAlignment="1">
      <alignment vertical="top"/>
    </xf>
    <xf numFmtId="41" fontId="10" fillId="0" borderId="1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2" fillId="0" borderId="8" xfId="0" applyFont="1" applyBorder="1" applyAlignment="1">
      <alignment horizontal="center"/>
    </xf>
    <xf numFmtId="0" fontId="22" fillId="0" borderId="10" xfId="0" applyFont="1" applyBorder="1" applyAlignment="1">
      <alignment/>
    </xf>
    <xf numFmtId="180" fontId="22" fillId="0" borderId="10" xfId="0" applyNumberFormat="1" applyFont="1" applyBorder="1" applyAlignment="1">
      <alignment/>
    </xf>
    <xf numFmtId="0" fontId="22" fillId="0" borderId="11" xfId="0" applyFont="1" applyBorder="1" applyAlignment="1">
      <alignment/>
    </xf>
    <xf numFmtId="177" fontId="10" fillId="0" borderId="9" xfId="0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180" fontId="10" fillId="0" borderId="9" xfId="0" applyNumberFormat="1" applyFont="1" applyBorder="1" applyAlignment="1">
      <alignment vertical="top"/>
    </xf>
    <xf numFmtId="180" fontId="9" fillId="0" borderId="6" xfId="0" applyNumberFormat="1" applyFont="1" applyBorder="1" applyAlignment="1">
      <alignment vertical="top"/>
    </xf>
    <xf numFmtId="180" fontId="9" fillId="0" borderId="6" xfId="0" applyNumberFormat="1" applyFont="1" applyBorder="1" applyAlignment="1">
      <alignment vertical="top" wrapText="1"/>
    </xf>
    <xf numFmtId="180" fontId="10" fillId="0" borderId="6" xfId="0" applyNumberFormat="1" applyFont="1" applyBorder="1" applyAlignment="1">
      <alignment vertical="top"/>
    </xf>
    <xf numFmtId="180" fontId="9" fillId="0" borderId="11" xfId="0" applyNumberFormat="1" applyFont="1" applyBorder="1" applyAlignment="1">
      <alignment vertical="top"/>
    </xf>
    <xf numFmtId="0" fontId="18" fillId="0" borderId="0" xfId="0" applyFont="1" applyAlignment="1">
      <alignment vertical="center"/>
    </xf>
    <xf numFmtId="43" fontId="9" fillId="0" borderId="2" xfId="0" applyNumberFormat="1" applyFont="1" applyBorder="1" applyAlignment="1">
      <alignment vertical="center"/>
    </xf>
    <xf numFmtId="43" fontId="9" fillId="0" borderId="6" xfId="0" applyNumberFormat="1" applyFont="1" applyBorder="1" applyAlignment="1">
      <alignment vertical="center"/>
    </xf>
    <xf numFmtId="41" fontId="10" fillId="0" borderId="2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3" fontId="10" fillId="0" borderId="3" xfId="0" applyNumberFormat="1" applyFont="1" applyBorder="1" applyAlignment="1">
      <alignment vertical="top"/>
    </xf>
    <xf numFmtId="43" fontId="9" fillId="0" borderId="2" xfId="0" applyNumberFormat="1" applyFont="1" applyBorder="1" applyAlignment="1">
      <alignment vertical="top"/>
    </xf>
    <xf numFmtId="43" fontId="10" fillId="0" borderId="2" xfId="0" applyNumberFormat="1" applyFont="1" applyBorder="1" applyAlignment="1">
      <alignment vertical="top"/>
    </xf>
    <xf numFmtId="0" fontId="9" fillId="0" borderId="4" xfId="0" applyFont="1" applyBorder="1" applyAlignment="1">
      <alignment horizontal="distributed" vertical="center" wrapText="1"/>
    </xf>
    <xf numFmtId="0" fontId="9" fillId="0" borderId="8" xfId="0" applyFont="1" applyBorder="1" applyAlignment="1">
      <alignment vertical="top" wrapText="1"/>
    </xf>
    <xf numFmtId="43" fontId="9" fillId="0" borderId="10" xfId="0" applyNumberFormat="1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13" fillId="0" borderId="7" xfId="0" applyFont="1" applyBorder="1" applyAlignment="1">
      <alignment horizontal="distributed" vertical="top"/>
    </xf>
    <xf numFmtId="0" fontId="13" fillId="0" borderId="7" xfId="0" applyFont="1" applyBorder="1" applyAlignment="1">
      <alignment horizontal="distributed" vertical="top" wrapText="1"/>
    </xf>
    <xf numFmtId="0" fontId="9" fillId="0" borderId="0" xfId="0" applyFont="1" applyAlignment="1">
      <alignment horizontal="justify"/>
    </xf>
    <xf numFmtId="0" fontId="10" fillId="0" borderId="0" xfId="0" applyFont="1" applyBorder="1" applyAlignment="1">
      <alignment horizontal="distributed" vertical="center"/>
    </xf>
    <xf numFmtId="177" fontId="10" fillId="0" borderId="0" xfId="0" applyNumberFormat="1" applyFont="1" applyBorder="1" applyAlignment="1">
      <alignment vertical="center"/>
    </xf>
    <xf numFmtId="0" fontId="13" fillId="0" borderId="2" xfId="0" applyFont="1" applyBorder="1" applyAlignment="1">
      <alignment horizontal="center" vertical="top"/>
    </xf>
    <xf numFmtId="43" fontId="10" fillId="0" borderId="2" xfId="0" applyNumberFormat="1" applyFont="1" applyBorder="1" applyAlignment="1">
      <alignment vertical="center"/>
    </xf>
    <xf numFmtId="43" fontId="10" fillId="0" borderId="10" xfId="0" applyNumberFormat="1" applyFont="1" applyBorder="1" applyAlignment="1">
      <alignment vertical="center"/>
    </xf>
    <xf numFmtId="43" fontId="10" fillId="0" borderId="11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22" fillId="0" borderId="10" xfId="0" applyNumberFormat="1" applyFont="1" applyBorder="1" applyAlignment="1">
      <alignment/>
    </xf>
    <xf numFmtId="180" fontId="9" fillId="0" borderId="8" xfId="0" applyNumberFormat="1" applyFont="1" applyBorder="1" applyAlignment="1">
      <alignment vertical="top"/>
    </xf>
    <xf numFmtId="177" fontId="9" fillId="0" borderId="10" xfId="0" applyNumberFormat="1" applyFont="1" applyBorder="1" applyAlignment="1">
      <alignment vertical="top"/>
    </xf>
    <xf numFmtId="177" fontId="28" fillId="0" borderId="2" xfId="0" applyNumberFormat="1" applyFont="1" applyBorder="1" applyAlignment="1">
      <alignment vertical="center"/>
    </xf>
    <xf numFmtId="0" fontId="28" fillId="0" borderId="7" xfId="0" applyFont="1" applyBorder="1" applyAlignment="1">
      <alignment vertical="center"/>
    </xf>
    <xf numFmtId="0" fontId="28" fillId="0" borderId="7" xfId="0" applyFont="1" applyBorder="1" applyAlignment="1">
      <alignment horizontal="left" vertical="top"/>
    </xf>
    <xf numFmtId="0" fontId="29" fillId="0" borderId="7" xfId="0" applyFont="1" applyBorder="1" applyAlignment="1">
      <alignment horizontal="left" vertical="top"/>
    </xf>
    <xf numFmtId="0" fontId="28" fillId="0" borderId="7" xfId="0" applyFont="1" applyBorder="1" applyAlignment="1">
      <alignment horizontal="left" vertical="top" wrapText="1"/>
    </xf>
    <xf numFmtId="41" fontId="28" fillId="0" borderId="2" xfId="0" applyNumberFormat="1" applyFont="1" applyBorder="1" applyAlignment="1">
      <alignment vertical="top"/>
    </xf>
    <xf numFmtId="177" fontId="29" fillId="0" borderId="3" xfId="0" applyNumberFormat="1" applyFont="1" applyBorder="1" applyAlignment="1">
      <alignment vertical="center"/>
    </xf>
    <xf numFmtId="177" fontId="29" fillId="0" borderId="2" xfId="0" applyNumberFormat="1" applyFont="1" applyBorder="1" applyAlignment="1">
      <alignment vertical="center"/>
    </xf>
    <xf numFmtId="43" fontId="28" fillId="0" borderId="2" xfId="0" applyNumberFormat="1" applyFont="1" applyBorder="1" applyAlignment="1">
      <alignment vertical="center"/>
    </xf>
    <xf numFmtId="177" fontId="29" fillId="0" borderId="10" xfId="0" applyNumberFormat="1" applyFont="1" applyBorder="1" applyAlignment="1">
      <alignment vertical="center"/>
    </xf>
    <xf numFmtId="43" fontId="28" fillId="0" borderId="2" xfId="0" applyNumberFormat="1" applyFont="1" applyBorder="1" applyAlignment="1">
      <alignment vertical="top"/>
    </xf>
    <xf numFmtId="0" fontId="9" fillId="0" borderId="16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177" fontId="31" fillId="0" borderId="6" xfId="0" applyNumberFormat="1" applyFont="1" applyBorder="1" applyAlignment="1">
      <alignment vertical="top" wrapText="1"/>
    </xf>
    <xf numFmtId="41" fontId="9" fillId="0" borderId="0" xfId="0" applyNumberFormat="1" applyFont="1" applyBorder="1" applyAlignment="1">
      <alignment vertical="top"/>
    </xf>
    <xf numFmtId="180" fontId="9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177" fontId="28" fillId="0" borderId="2" xfId="15" applyNumberFormat="1" applyFont="1" applyBorder="1" applyAlignment="1">
      <alignment vertical="center"/>
      <protection/>
    </xf>
    <xf numFmtId="177" fontId="32" fillId="0" borderId="6" xfId="0" applyNumberFormat="1" applyFont="1" applyBorder="1" applyAlignment="1">
      <alignment vertical="top" wrapText="1"/>
    </xf>
    <xf numFmtId="177" fontId="9" fillId="0" borderId="6" xfId="0" applyNumberFormat="1" applyFont="1" applyBorder="1" applyAlignment="1">
      <alignment vertical="top" wrapText="1"/>
    </xf>
    <xf numFmtId="0" fontId="9" fillId="0" borderId="18" xfId="0" applyFont="1" applyBorder="1" applyAlignment="1">
      <alignment horizontal="distributed" vertical="center" wrapText="1"/>
    </xf>
    <xf numFmtId="0" fontId="9" fillId="0" borderId="14" xfId="0" applyFont="1" applyBorder="1" applyAlignment="1">
      <alignment vertical="top"/>
    </xf>
    <xf numFmtId="0" fontId="10" fillId="0" borderId="8" xfId="0" applyFont="1" applyBorder="1" applyAlignment="1">
      <alignment vertical="top" wrapText="1"/>
    </xf>
    <xf numFmtId="43" fontId="28" fillId="0" borderId="10" xfId="0" applyNumberFormat="1" applyFont="1" applyBorder="1" applyAlignment="1">
      <alignment vertical="top"/>
    </xf>
    <xf numFmtId="43" fontId="29" fillId="0" borderId="2" xfId="0" applyNumberFormat="1" applyFont="1" applyBorder="1" applyAlignment="1">
      <alignment vertical="top"/>
    </xf>
    <xf numFmtId="43" fontId="10" fillId="0" borderId="10" xfId="0" applyNumberFormat="1" applyFont="1" applyBorder="1" applyAlignment="1">
      <alignment vertical="top"/>
    </xf>
    <xf numFmtId="43" fontId="10" fillId="0" borderId="3" xfId="0" applyNumberFormat="1" applyFont="1" applyBorder="1" applyAlignment="1">
      <alignment vertical="center"/>
    </xf>
    <xf numFmtId="43" fontId="10" fillId="0" borderId="9" xfId="0" applyNumberFormat="1" applyFont="1" applyBorder="1" applyAlignment="1">
      <alignment vertical="center"/>
    </xf>
    <xf numFmtId="43" fontId="9" fillId="0" borderId="2" xfId="15" applyNumberFormat="1" applyFont="1" applyBorder="1" applyAlignment="1">
      <alignment vertical="center"/>
      <protection/>
    </xf>
    <xf numFmtId="43" fontId="9" fillId="0" borderId="10" xfId="0" applyNumberFormat="1" applyFont="1" applyBorder="1" applyAlignment="1">
      <alignment vertical="center"/>
    </xf>
    <xf numFmtId="43" fontId="9" fillId="0" borderId="11" xfId="0" applyNumberFormat="1" applyFont="1" applyBorder="1" applyAlignment="1">
      <alignment vertical="center"/>
    </xf>
    <xf numFmtId="43" fontId="10" fillId="0" borderId="9" xfId="0" applyNumberFormat="1" applyFont="1" applyBorder="1" applyAlignment="1">
      <alignment vertical="top"/>
    </xf>
    <xf numFmtId="43" fontId="9" fillId="0" borderId="6" xfId="0" applyNumberFormat="1" applyFont="1" applyBorder="1" applyAlignment="1">
      <alignment vertical="top"/>
    </xf>
    <xf numFmtId="43" fontId="10" fillId="0" borderId="6" xfId="0" applyNumberFormat="1" applyFont="1" applyBorder="1" applyAlignment="1">
      <alignment vertical="top"/>
    </xf>
    <xf numFmtId="43" fontId="33" fillId="0" borderId="3" xfId="0" applyNumberFormat="1" applyFont="1" applyBorder="1" applyAlignment="1">
      <alignment vertical="top"/>
    </xf>
    <xf numFmtId="43" fontId="33" fillId="0" borderId="9" xfId="0" applyNumberFormat="1" applyFont="1" applyBorder="1" applyAlignment="1">
      <alignment vertical="top"/>
    </xf>
    <xf numFmtId="43" fontId="0" fillId="0" borderId="2" xfId="0" applyNumberFormat="1" applyFont="1" applyBorder="1" applyAlignment="1">
      <alignment vertical="top"/>
    </xf>
    <xf numFmtId="43" fontId="33" fillId="0" borderId="2" xfId="0" applyNumberFormat="1" applyFont="1" applyBorder="1" applyAlignment="1">
      <alignment vertical="top"/>
    </xf>
    <xf numFmtId="43" fontId="0" fillId="0" borderId="6" xfId="0" applyNumberFormat="1" applyFont="1" applyBorder="1" applyAlignment="1">
      <alignment vertical="top"/>
    </xf>
    <xf numFmtId="43" fontId="33" fillId="0" borderId="6" xfId="0" applyNumberFormat="1" applyFont="1" applyBorder="1" applyAlignment="1">
      <alignment vertical="top"/>
    </xf>
    <xf numFmtId="43" fontId="32" fillId="0" borderId="2" xfId="0" applyNumberFormat="1" applyFont="1" applyBorder="1" applyAlignment="1">
      <alignment vertical="top"/>
    </xf>
    <xf numFmtId="43" fontId="34" fillId="0" borderId="2" xfId="0" applyNumberFormat="1" applyFont="1" applyBorder="1" applyAlignment="1">
      <alignment vertical="top"/>
    </xf>
    <xf numFmtId="43" fontId="33" fillId="0" borderId="10" xfId="0" applyNumberFormat="1" applyFont="1" applyBorder="1" applyAlignment="1">
      <alignment vertical="top"/>
    </xf>
    <xf numFmtId="43" fontId="33" fillId="0" borderId="11" xfId="0" applyNumberFormat="1" applyFont="1" applyBorder="1" applyAlignment="1">
      <alignment vertical="top"/>
    </xf>
    <xf numFmtId="43" fontId="10" fillId="0" borderId="5" xfId="0" applyNumberFormat="1" applyFont="1" applyBorder="1" applyAlignment="1">
      <alignment vertical="top"/>
    </xf>
    <xf numFmtId="43" fontId="9" fillId="0" borderId="7" xfId="0" applyNumberFormat="1" applyFont="1" applyBorder="1" applyAlignment="1">
      <alignment vertical="top"/>
    </xf>
    <xf numFmtId="43" fontId="10" fillId="0" borderId="7" xfId="0" applyNumberFormat="1" applyFont="1" applyBorder="1" applyAlignment="1">
      <alignment vertical="top"/>
    </xf>
    <xf numFmtId="43" fontId="10" fillId="2" borderId="2" xfId="0" applyNumberFormat="1" applyFont="1" applyFill="1" applyBorder="1" applyAlignment="1">
      <alignment vertical="top"/>
    </xf>
    <xf numFmtId="43" fontId="9" fillId="2" borderId="2" xfId="0" applyNumberFormat="1" applyFont="1" applyFill="1" applyBorder="1" applyAlignment="1">
      <alignment vertical="top"/>
    </xf>
    <xf numFmtId="43" fontId="10" fillId="0" borderId="8" xfId="0" applyNumberFormat="1" applyFont="1" applyBorder="1" applyAlignment="1">
      <alignment vertical="center"/>
    </xf>
    <xf numFmtId="43" fontId="13" fillId="0" borderId="2" xfId="0" applyNumberFormat="1" applyFont="1" applyBorder="1" applyAlignment="1">
      <alignment vertical="top"/>
    </xf>
    <xf numFmtId="43" fontId="22" fillId="0" borderId="10" xfId="0" applyNumberFormat="1" applyFont="1" applyBorder="1" applyAlignment="1">
      <alignment/>
    </xf>
    <xf numFmtId="43" fontId="29" fillId="0" borderId="10" xfId="0" applyNumberFormat="1" applyFont="1" applyBorder="1" applyAlignment="1">
      <alignment vertical="top"/>
    </xf>
    <xf numFmtId="43" fontId="9" fillId="0" borderId="13" xfId="0" applyNumberFormat="1" applyFont="1" applyBorder="1" applyAlignment="1">
      <alignment vertical="top"/>
    </xf>
    <xf numFmtId="180" fontId="10" fillId="0" borderId="7" xfId="0" applyNumberFormat="1" applyFont="1" applyBorder="1" applyAlignment="1">
      <alignment vertical="top" wrapText="1"/>
    </xf>
    <xf numFmtId="177" fontId="0" fillId="0" borderId="6" xfId="15" applyNumberFormat="1" applyFont="1" applyBorder="1" applyAlignment="1">
      <alignment vertical="top" wrapText="1"/>
      <protection/>
    </xf>
    <xf numFmtId="0" fontId="10" fillId="0" borderId="7" xfId="0" applyFont="1" applyBorder="1" applyAlignment="1">
      <alignment horizontal="left" vertical="center"/>
    </xf>
    <xf numFmtId="43" fontId="29" fillId="0" borderId="2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6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43" fontId="10" fillId="0" borderId="3" xfId="0" applyNumberFormat="1" applyFont="1" applyBorder="1" applyAlignment="1">
      <alignment horizontal="distributed" vertical="top"/>
    </xf>
    <xf numFmtId="0" fontId="9" fillId="0" borderId="8" xfId="0" applyFont="1" applyBorder="1" applyAlignment="1">
      <alignment horizontal="left" vertical="top" wrapText="1"/>
    </xf>
    <xf numFmtId="0" fontId="28" fillId="0" borderId="11" xfId="0" applyFont="1" applyBorder="1" applyAlignment="1">
      <alignment vertical="top" wrapText="1"/>
    </xf>
    <xf numFmtId="0" fontId="10" fillId="0" borderId="6" xfId="0" applyFont="1" applyBorder="1" applyAlignment="1">
      <alignment horizontal="distributed" vertical="top" wrapText="1"/>
    </xf>
    <xf numFmtId="0" fontId="10" fillId="0" borderId="6" xfId="0" applyFont="1" applyBorder="1" applyAlignment="1">
      <alignment horizontal="left" vertical="top" wrapText="1"/>
    </xf>
    <xf numFmtId="180" fontId="10" fillId="0" borderId="8" xfId="0" applyNumberFormat="1" applyFont="1" applyBorder="1" applyAlignment="1">
      <alignment vertical="top" wrapText="1"/>
    </xf>
    <xf numFmtId="0" fontId="10" fillId="0" borderId="11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 quotePrefix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4" fillId="0" borderId="0" xfId="0" applyFont="1" applyAlignment="1">
      <alignment horizontal="distributed" vertical="center"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distributed" vertical="center"/>
    </xf>
    <xf numFmtId="0" fontId="9" fillId="0" borderId="28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177" fontId="9" fillId="0" borderId="26" xfId="0" applyNumberFormat="1" applyFont="1" applyBorder="1" applyAlignment="1">
      <alignment horizontal="left" vertical="center" wrapText="1"/>
    </xf>
    <xf numFmtId="0" fontId="9" fillId="0" borderId="12" xfId="0" applyFont="1" applyBorder="1" applyAlignment="1">
      <alignment horizontal="distributed" vertical="center" wrapText="1"/>
    </xf>
    <xf numFmtId="0" fontId="9" fillId="0" borderId="27" xfId="0" applyFont="1" applyBorder="1" applyAlignment="1">
      <alignment horizontal="distributed" vertical="center" wrapText="1"/>
    </xf>
    <xf numFmtId="0" fontId="9" fillId="0" borderId="28" xfId="0" applyFont="1" applyBorder="1" applyAlignment="1">
      <alignment horizontal="distributed" vertical="center" wrapText="1"/>
    </xf>
    <xf numFmtId="0" fontId="9" fillId="0" borderId="4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28" fillId="0" borderId="6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distributed" vertical="center"/>
    </xf>
    <xf numFmtId="0" fontId="9" fillId="0" borderId="29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5" fillId="0" borderId="26" xfId="0" applyFont="1" applyBorder="1" applyAlignment="1">
      <alignment vertical="center" wrapText="1"/>
    </xf>
    <xf numFmtId="0" fontId="9" fillId="0" borderId="30" xfId="0" applyFont="1" applyBorder="1" applyAlignment="1">
      <alignment horizontal="distributed" vertical="center" wrapText="1"/>
    </xf>
    <xf numFmtId="0" fontId="0" fillId="0" borderId="3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14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3" fillId="0" borderId="19" xfId="0" applyFont="1" applyBorder="1" applyAlignment="1">
      <alignment horizontal="distributed" vertical="center"/>
    </xf>
    <xf numFmtId="0" fontId="13" fillId="0" borderId="18" xfId="0" applyFont="1" applyBorder="1" applyAlignment="1">
      <alignment horizontal="distributed" vertical="center"/>
    </xf>
    <xf numFmtId="0" fontId="13" fillId="0" borderId="12" xfId="0" applyFont="1" applyBorder="1" applyAlignment="1">
      <alignment horizontal="distributed" vertical="center"/>
    </xf>
    <xf numFmtId="0" fontId="13" fillId="0" borderId="1" xfId="0" applyFont="1" applyBorder="1" applyAlignment="1">
      <alignment horizontal="distributed" vertical="center"/>
    </xf>
    <xf numFmtId="0" fontId="30" fillId="0" borderId="6" xfId="0" applyFont="1" applyBorder="1" applyAlignment="1">
      <alignment horizontal="left" vertical="top" wrapText="1"/>
    </xf>
    <xf numFmtId="0" fontId="30" fillId="0" borderId="9" xfId="0" applyFont="1" applyBorder="1" applyAlignment="1">
      <alignment vertical="top" wrapText="1"/>
    </xf>
    <xf numFmtId="0" fontId="30" fillId="0" borderId="6" xfId="0" applyFont="1" applyBorder="1" applyAlignment="1">
      <alignment vertical="top" wrapText="1"/>
    </xf>
    <xf numFmtId="0" fontId="13" fillId="0" borderId="15" xfId="0" applyFont="1" applyBorder="1" applyAlignment="1">
      <alignment horizontal="distributed" vertical="center"/>
    </xf>
    <xf numFmtId="0" fontId="13" fillId="0" borderId="4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 wrapText="1"/>
    </xf>
    <xf numFmtId="0" fontId="9" fillId="0" borderId="21" xfId="0" applyFont="1" applyBorder="1" applyAlignment="1">
      <alignment horizontal="distributed" vertical="center" wrapText="1"/>
    </xf>
    <xf numFmtId="0" fontId="9" fillId="0" borderId="30" xfId="0" applyFont="1" applyBorder="1" applyAlignment="1">
      <alignment horizontal="distributed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</cellXfs>
  <cellStyles count="9">
    <cellStyle name="Normal" xfId="0"/>
    <cellStyle name="一般_Sheet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:J1"/>
    </sheetView>
  </sheetViews>
  <sheetFormatPr defaultColWidth="9.00390625" defaultRowHeight="120" customHeight="1"/>
  <cols>
    <col min="1" max="16384" width="9.00390625" style="29" customWidth="1"/>
  </cols>
  <sheetData>
    <row r="1" spans="1:10" ht="120" customHeight="1">
      <c r="A1" s="215" t="s">
        <v>331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2:10" ht="120" customHeight="1">
      <c r="B2" s="30"/>
      <c r="C2" s="217" t="s">
        <v>10</v>
      </c>
      <c r="D2" s="217"/>
      <c r="E2" s="217"/>
      <c r="F2" s="217"/>
      <c r="G2" s="217"/>
      <c r="H2" s="217"/>
      <c r="I2" s="30"/>
      <c r="J2" s="30"/>
    </row>
    <row r="3" spans="2:10" ht="120" customHeight="1">
      <c r="B3" s="30"/>
      <c r="C3" s="217" t="s">
        <v>14</v>
      </c>
      <c r="D3" s="217"/>
      <c r="E3" s="217"/>
      <c r="F3" s="217"/>
      <c r="G3" s="217"/>
      <c r="H3" s="217"/>
      <c r="I3" s="30"/>
      <c r="J3" s="30"/>
    </row>
    <row r="4" spans="1:10" s="105" customFormat="1" ht="120" customHeight="1">
      <c r="A4" s="218" t="s">
        <v>11</v>
      </c>
      <c r="B4" s="218"/>
      <c r="C4" s="218"/>
      <c r="D4" s="218"/>
      <c r="E4" s="218"/>
      <c r="F4" s="218"/>
      <c r="G4" s="218"/>
      <c r="H4" s="218"/>
      <c r="I4" s="218"/>
      <c r="J4" s="218"/>
    </row>
    <row r="5" spans="1:10" ht="120" customHeight="1">
      <c r="A5" s="212" t="s">
        <v>12</v>
      </c>
      <c r="B5" s="212"/>
      <c r="C5" s="212"/>
      <c r="D5" s="212"/>
      <c r="E5" s="212"/>
      <c r="F5" s="212"/>
      <c r="G5" s="212"/>
      <c r="H5" s="212"/>
      <c r="I5" s="212"/>
      <c r="J5" s="212"/>
    </row>
    <row r="6" spans="1:10" ht="120" customHeight="1">
      <c r="A6" s="213" t="s">
        <v>13</v>
      </c>
      <c r="B6" s="214"/>
      <c r="C6" s="214"/>
      <c r="D6" s="214"/>
      <c r="E6" s="214"/>
      <c r="F6" s="214"/>
      <c r="G6" s="214"/>
      <c r="H6" s="214"/>
      <c r="I6" s="214"/>
      <c r="J6" s="214"/>
    </row>
  </sheetData>
  <mergeCells count="6">
    <mergeCell ref="A5:J5"/>
    <mergeCell ref="A6:J6"/>
    <mergeCell ref="A1:J1"/>
    <mergeCell ref="C2:H2"/>
    <mergeCell ref="C3:H3"/>
    <mergeCell ref="A4:J4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Header>&amp;C&amp;"Arial Unicode MS,粗斜體"&amp;20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</sheetPr>
  <dimension ref="A1:G26"/>
  <sheetViews>
    <sheetView zoomScale="75" zoomScaleNormal="75" workbookViewId="0" topLeftCell="A1">
      <pane xSplit="1" ySplit="6" topLeftCell="B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8" sqref="D18"/>
    </sheetView>
  </sheetViews>
  <sheetFormatPr defaultColWidth="9.00390625" defaultRowHeight="25.5" customHeight="1"/>
  <cols>
    <col min="1" max="1" width="33.625" style="7" customWidth="1"/>
    <col min="2" max="2" width="22.625" style="7" customWidth="1"/>
    <col min="3" max="3" width="13.625" style="7" customWidth="1"/>
    <col min="4" max="4" width="22.625" style="7" customWidth="1"/>
    <col min="5" max="5" width="13.625" style="7" customWidth="1"/>
    <col min="6" max="6" width="22.00390625" style="7" customWidth="1"/>
    <col min="7" max="7" width="12.75390625" style="7" customWidth="1"/>
    <col min="8" max="16384" width="9.00390625" style="7" customWidth="1"/>
  </cols>
  <sheetData>
    <row r="1" spans="1:7" s="9" customFormat="1" ht="25.5">
      <c r="A1" s="233" t="s">
        <v>44</v>
      </c>
      <c r="B1" s="233"/>
      <c r="C1" s="233"/>
      <c r="D1" s="233"/>
      <c r="E1" s="233"/>
      <c r="F1" s="233"/>
      <c r="G1" s="233"/>
    </row>
    <row r="2" spans="1:7" s="4" customFormat="1" ht="27.75">
      <c r="A2" s="221" t="s">
        <v>45</v>
      </c>
      <c r="B2" s="221"/>
      <c r="C2" s="221"/>
      <c r="D2" s="221"/>
      <c r="E2" s="221"/>
      <c r="F2" s="221"/>
      <c r="G2" s="221"/>
    </row>
    <row r="3" spans="1:7" ht="19.5">
      <c r="A3" s="223" t="s">
        <v>335</v>
      </c>
      <c r="B3" s="223"/>
      <c r="C3" s="223"/>
      <c r="D3" s="223"/>
      <c r="E3" s="223"/>
      <c r="F3" s="223"/>
      <c r="G3" s="223"/>
    </row>
    <row r="4" spans="1:7" ht="20.25" thickBot="1">
      <c r="A4" s="210" t="s">
        <v>0</v>
      </c>
      <c r="B4" s="210"/>
      <c r="C4" s="210"/>
      <c r="D4" s="210"/>
      <c r="E4" s="210"/>
      <c r="F4" s="210"/>
      <c r="G4" s="210"/>
    </row>
    <row r="5" spans="1:7" s="11" customFormat="1" ht="45.75" customHeight="1">
      <c r="A5" s="199" t="s">
        <v>40</v>
      </c>
      <c r="B5" s="235" t="s">
        <v>42</v>
      </c>
      <c r="C5" s="235"/>
      <c r="D5" s="235" t="s">
        <v>43</v>
      </c>
      <c r="E5" s="235"/>
      <c r="F5" s="236" t="s">
        <v>6</v>
      </c>
      <c r="G5" s="237"/>
    </row>
    <row r="6" spans="1:7" s="11" customFormat="1" ht="45" customHeight="1">
      <c r="A6" s="200"/>
      <c r="B6" s="10" t="s">
        <v>41</v>
      </c>
      <c r="C6" s="10" t="s">
        <v>1</v>
      </c>
      <c r="D6" s="10" t="s">
        <v>41</v>
      </c>
      <c r="E6" s="10" t="s">
        <v>1</v>
      </c>
      <c r="F6" s="10" t="s">
        <v>41</v>
      </c>
      <c r="G6" s="37" t="s">
        <v>1</v>
      </c>
    </row>
    <row r="7" spans="1:7" s="36" customFormat="1" ht="50.25" customHeight="1">
      <c r="A7" s="71" t="s">
        <v>59</v>
      </c>
      <c r="B7" s="46">
        <f>B8+B15</f>
        <v>175017410</v>
      </c>
      <c r="C7" s="46">
        <f>B7/B25*100</f>
        <v>7.044683797314853</v>
      </c>
      <c r="D7" s="46">
        <v>142846688</v>
      </c>
      <c r="E7" s="46">
        <f>D7/D25*100</f>
        <v>6.367650971822599</v>
      </c>
      <c r="F7" s="44">
        <f>B7-D7</f>
        <v>32170722</v>
      </c>
      <c r="G7" s="45">
        <f>ABS(F7/D7*100)</f>
        <v>22.52115358810419</v>
      </c>
    </row>
    <row r="8" spans="1:7" s="36" customFormat="1" ht="45" customHeight="1">
      <c r="A8" s="42" t="s">
        <v>60</v>
      </c>
      <c r="B8" s="46">
        <f>B12+B9</f>
        <v>90795279</v>
      </c>
      <c r="C8" s="46">
        <f>B8/B25*100</f>
        <v>3.65463087840222</v>
      </c>
      <c r="D8" s="46">
        <v>62136914</v>
      </c>
      <c r="E8" s="46">
        <f>D8/D25*100</f>
        <v>2.769865975598659</v>
      </c>
      <c r="F8" s="46">
        <f aca="true" t="shared" si="0" ref="F8:F25">B8-D8</f>
        <v>28658365</v>
      </c>
      <c r="G8" s="47">
        <f aca="true" t="shared" si="1" ref="G8:G25">ABS(F8/D8*100)</f>
        <v>46.121320090019275</v>
      </c>
    </row>
    <row r="9" spans="1:7" s="36" customFormat="1" ht="45" customHeight="1">
      <c r="A9" s="42" t="s">
        <v>69</v>
      </c>
      <c r="B9" s="46">
        <f>B10+B11</f>
        <v>87200266</v>
      </c>
      <c r="C9" s="46">
        <f>B9/B25*100</f>
        <v>3.509926818204802</v>
      </c>
      <c r="D9" s="46">
        <v>58626763</v>
      </c>
      <c r="E9" s="46">
        <f>D9/D25*100</f>
        <v>2.6133946094134375</v>
      </c>
      <c r="F9" s="46">
        <f>B9-D9</f>
        <v>28573503</v>
      </c>
      <c r="G9" s="47">
        <f t="shared" si="1"/>
        <v>48.73798507347233</v>
      </c>
    </row>
    <row r="10" spans="1:7" ht="45" customHeight="1">
      <c r="A10" s="48" t="s">
        <v>89</v>
      </c>
      <c r="B10" s="106">
        <v>282000</v>
      </c>
      <c r="C10" s="106">
        <f>B10/B25*100</f>
        <v>0.011350875497716418</v>
      </c>
      <c r="D10" s="106">
        <v>0</v>
      </c>
      <c r="E10" s="106">
        <f>D10/D25*100</f>
        <v>0</v>
      </c>
      <c r="F10" s="12">
        <f>B10-D10</f>
        <v>282000</v>
      </c>
      <c r="G10" s="47"/>
    </row>
    <row r="11" spans="1:7" ht="45" customHeight="1">
      <c r="A11" s="48" t="s">
        <v>84</v>
      </c>
      <c r="B11" s="12">
        <v>86918266</v>
      </c>
      <c r="C11" s="12">
        <f>B11/B25*100</f>
        <v>3.4985759427070855</v>
      </c>
      <c r="D11" s="12">
        <v>58626763</v>
      </c>
      <c r="E11" s="12">
        <f>D11/D25*100</f>
        <v>2.6133946094134375</v>
      </c>
      <c r="F11" s="12">
        <f>B11-D11</f>
        <v>28291503</v>
      </c>
      <c r="G11" s="39">
        <f t="shared" si="1"/>
        <v>48.256976084454806</v>
      </c>
    </row>
    <row r="12" spans="1:7" s="36" customFormat="1" ht="45" customHeight="1">
      <c r="A12" s="42" t="s">
        <v>61</v>
      </c>
      <c r="B12" s="46">
        <f>B13+B14</f>
        <v>3595013</v>
      </c>
      <c r="C12" s="46">
        <f>B12/B25*100</f>
        <v>0.1447040601974184</v>
      </c>
      <c r="D12" s="46">
        <v>3510151</v>
      </c>
      <c r="E12" s="46">
        <f>D12/D25*100</f>
        <v>0.15647136618522137</v>
      </c>
      <c r="F12" s="46">
        <f t="shared" si="0"/>
        <v>84862</v>
      </c>
      <c r="G12" s="47">
        <f t="shared" si="1"/>
        <v>2.4176167919841625</v>
      </c>
    </row>
    <row r="13" spans="1:7" ht="45" customHeight="1">
      <c r="A13" s="48" t="s">
        <v>62</v>
      </c>
      <c r="B13" s="12">
        <v>3595013</v>
      </c>
      <c r="C13" s="12">
        <f>B13/B25*100</f>
        <v>0.1447040601974184</v>
      </c>
      <c r="D13" s="12">
        <v>3510151</v>
      </c>
      <c r="E13" s="12">
        <f>D13/D25*100</f>
        <v>0.15647136618522137</v>
      </c>
      <c r="F13" s="12">
        <f t="shared" si="0"/>
        <v>84862</v>
      </c>
      <c r="G13" s="39">
        <f t="shared" si="1"/>
        <v>2.4176167919841625</v>
      </c>
    </row>
    <row r="14" spans="1:7" ht="45" customHeight="1" hidden="1">
      <c r="A14" s="48" t="s">
        <v>63</v>
      </c>
      <c r="B14" s="106">
        <v>0</v>
      </c>
      <c r="C14" s="106">
        <f>B14/B25*100</f>
        <v>0</v>
      </c>
      <c r="D14" s="106">
        <v>0</v>
      </c>
      <c r="E14" s="106">
        <f>D14/D25*100</f>
        <v>0</v>
      </c>
      <c r="F14" s="12">
        <f t="shared" si="0"/>
        <v>0</v>
      </c>
      <c r="G14" s="47" t="e">
        <f t="shared" si="1"/>
        <v>#DIV/0!</v>
      </c>
    </row>
    <row r="15" spans="1:7" s="36" customFormat="1" ht="45" customHeight="1">
      <c r="A15" s="42" t="s">
        <v>64</v>
      </c>
      <c r="B15" s="46">
        <f>B16</f>
        <v>84222131</v>
      </c>
      <c r="C15" s="46">
        <f>B15/B25*100</f>
        <v>3.3900529189126325</v>
      </c>
      <c r="D15" s="46">
        <v>80709774</v>
      </c>
      <c r="E15" s="46">
        <f>D15/D25*100</f>
        <v>3.5977849962239397</v>
      </c>
      <c r="F15" s="46">
        <f t="shared" si="0"/>
        <v>3512357</v>
      </c>
      <c r="G15" s="47">
        <f t="shared" si="1"/>
        <v>4.351835999441653</v>
      </c>
    </row>
    <row r="16" spans="1:7" s="36" customFormat="1" ht="45" customHeight="1">
      <c r="A16" s="42" t="s">
        <v>65</v>
      </c>
      <c r="B16" s="46">
        <f>B17+B18+B19</f>
        <v>84222131</v>
      </c>
      <c r="C16" s="46">
        <f>B16/B25*100</f>
        <v>3.3900529189126325</v>
      </c>
      <c r="D16" s="46">
        <v>80709774</v>
      </c>
      <c r="E16" s="46">
        <f>D16/D25*100</f>
        <v>3.5977849962239397</v>
      </c>
      <c r="F16" s="46">
        <f t="shared" si="0"/>
        <v>3512357</v>
      </c>
      <c r="G16" s="47">
        <f t="shared" si="1"/>
        <v>4.351835999441653</v>
      </c>
    </row>
    <row r="17" spans="1:7" ht="45" customHeight="1">
      <c r="A17" s="56" t="s">
        <v>66</v>
      </c>
      <c r="B17" s="12">
        <v>40460191</v>
      </c>
      <c r="C17" s="12">
        <f>B17/B25*100</f>
        <v>1.628576562605767</v>
      </c>
      <c r="D17" s="12">
        <v>41332570</v>
      </c>
      <c r="E17" s="12">
        <f>D17/D25*100</f>
        <v>1.8424744963525204</v>
      </c>
      <c r="F17" s="12">
        <f t="shared" si="0"/>
        <v>-872379</v>
      </c>
      <c r="G17" s="39">
        <f t="shared" si="1"/>
        <v>2.1106333334704326</v>
      </c>
    </row>
    <row r="18" spans="1:7" ht="45" customHeight="1">
      <c r="A18" s="56" t="s">
        <v>147</v>
      </c>
      <c r="B18" s="12">
        <v>1398605</v>
      </c>
      <c r="C18" s="12">
        <f>B18/B25*100</f>
        <v>0.056295713565544934</v>
      </c>
      <c r="D18" s="12">
        <v>1423556</v>
      </c>
      <c r="E18" s="106">
        <f>D18/D25*100</f>
        <v>0.06345759830878187</v>
      </c>
      <c r="F18" s="12">
        <f>B18-D18</f>
        <v>-24951</v>
      </c>
      <c r="G18" s="39">
        <f t="shared" si="1"/>
        <v>1.7527234615287353</v>
      </c>
    </row>
    <row r="19" spans="1:7" ht="45" customHeight="1">
      <c r="A19" s="56" t="s">
        <v>67</v>
      </c>
      <c r="B19" s="12">
        <v>42363335</v>
      </c>
      <c r="C19" s="12">
        <f>B19/B25*100</f>
        <v>1.7051806427413205</v>
      </c>
      <c r="D19" s="12">
        <v>37953648</v>
      </c>
      <c r="E19" s="12">
        <f>D19/D25*100</f>
        <v>1.691852901562638</v>
      </c>
      <c r="F19" s="12">
        <f>B19-D19</f>
        <v>4409687</v>
      </c>
      <c r="G19" s="39">
        <f t="shared" si="1"/>
        <v>11.61861173397614</v>
      </c>
    </row>
    <row r="20" spans="1:7" s="36" customFormat="1" ht="53.25" customHeight="1">
      <c r="A20" s="71" t="s">
        <v>68</v>
      </c>
      <c r="B20" s="46">
        <f>B21</f>
        <v>2309372451</v>
      </c>
      <c r="C20" s="46">
        <f>B20/B25*100</f>
        <v>92.95531620268514</v>
      </c>
      <c r="D20" s="46">
        <v>2100471745</v>
      </c>
      <c r="E20" s="46">
        <f>D20/D25*100</f>
        <v>93.6323490281774</v>
      </c>
      <c r="F20" s="46">
        <f t="shared" si="0"/>
        <v>208900706</v>
      </c>
      <c r="G20" s="47">
        <f t="shared" si="1"/>
        <v>9.945418523113721</v>
      </c>
    </row>
    <row r="21" spans="1:7" s="36" customFormat="1" ht="45" customHeight="1">
      <c r="A21" s="42" t="s">
        <v>68</v>
      </c>
      <c r="B21" s="46">
        <f>B22</f>
        <v>2309372451</v>
      </c>
      <c r="C21" s="46">
        <f>B21/B25*100</f>
        <v>92.95531620268514</v>
      </c>
      <c r="D21" s="46">
        <v>2100471745</v>
      </c>
      <c r="E21" s="46">
        <f>D21/D25*100</f>
        <v>93.6323490281774</v>
      </c>
      <c r="F21" s="46">
        <f t="shared" si="0"/>
        <v>208900706</v>
      </c>
      <c r="G21" s="47">
        <f t="shared" si="1"/>
        <v>9.945418523113721</v>
      </c>
    </row>
    <row r="22" spans="1:7" s="36" customFormat="1" ht="45" customHeight="1">
      <c r="A22" s="191" t="s">
        <v>316</v>
      </c>
      <c r="B22" s="46">
        <f>B23</f>
        <v>2309372451</v>
      </c>
      <c r="C22" s="46">
        <f>B22/B25*100</f>
        <v>92.95531620268514</v>
      </c>
      <c r="D22" s="46">
        <v>2100471745</v>
      </c>
      <c r="E22" s="46">
        <f>D22/D25*100</f>
        <v>93.6323490281774</v>
      </c>
      <c r="F22" s="46">
        <f t="shared" si="0"/>
        <v>208900706</v>
      </c>
      <c r="G22" s="47">
        <f t="shared" si="1"/>
        <v>9.945418523113721</v>
      </c>
    </row>
    <row r="23" spans="1:7" ht="45" customHeight="1">
      <c r="A23" s="48" t="s">
        <v>317</v>
      </c>
      <c r="B23" s="131">
        <f>'基金來源、用途及餘絀決算表'!D38</f>
        <v>2309372451</v>
      </c>
      <c r="C23" s="12">
        <f>B23/B25*100</f>
        <v>92.95531620268514</v>
      </c>
      <c r="D23" s="12">
        <v>2100471745</v>
      </c>
      <c r="E23" s="12">
        <f>D23/D25*100</f>
        <v>93.6323490281774</v>
      </c>
      <c r="F23" s="12">
        <f t="shared" si="0"/>
        <v>208900706</v>
      </c>
      <c r="G23" s="39">
        <f t="shared" si="1"/>
        <v>9.945418523113721</v>
      </c>
    </row>
    <row r="24" spans="1:7" ht="110.25" customHeight="1">
      <c r="A24" s="48"/>
      <c r="B24" s="131"/>
      <c r="C24" s="12"/>
      <c r="D24" s="12"/>
      <c r="E24" s="12"/>
      <c r="F24" s="12"/>
      <c r="G24" s="47"/>
    </row>
    <row r="25" spans="1:7" s="36" customFormat="1" ht="119.25" customHeight="1" thickBot="1">
      <c r="A25" s="73" t="s">
        <v>2</v>
      </c>
      <c r="B25" s="49">
        <f>B7+B20</f>
        <v>2484389861</v>
      </c>
      <c r="C25" s="49">
        <f>C7+C20</f>
        <v>100</v>
      </c>
      <c r="D25" s="49">
        <v>2243318433</v>
      </c>
      <c r="E25" s="49">
        <f>E7+E20</f>
        <v>100</v>
      </c>
      <c r="F25" s="49">
        <f t="shared" si="0"/>
        <v>241071428</v>
      </c>
      <c r="G25" s="50">
        <f t="shared" si="1"/>
        <v>10.746197439193422</v>
      </c>
    </row>
    <row r="26" spans="1:7" s="36" customFormat="1" ht="39.75" customHeight="1">
      <c r="A26" s="121"/>
      <c r="B26" s="122"/>
      <c r="C26" s="122"/>
      <c r="D26" s="122"/>
      <c r="E26" s="122"/>
      <c r="F26" s="122"/>
      <c r="G26" s="122"/>
    </row>
  </sheetData>
  <mergeCells count="8">
    <mergeCell ref="A5:A6"/>
    <mergeCell ref="B5:C5"/>
    <mergeCell ref="D5:E5"/>
    <mergeCell ref="F5:G5"/>
    <mergeCell ref="A1:G1"/>
    <mergeCell ref="A2:G2"/>
    <mergeCell ref="A3:G3"/>
    <mergeCell ref="A4:G4"/>
  </mergeCells>
  <printOptions horizontalCentered="1"/>
  <pageMargins left="0.15748031496062992" right="0.15748031496062992" top="0.5905511811023623" bottom="0.7874015748031497" header="0.5118110236220472" footer="0.5118110236220472"/>
  <pageSetup firstPageNumber="11" useFirstPageNumber="1" horizontalDpi="600" verticalDpi="600" orientation="portrait" paperSize="9" scale="68" r:id="rId1"/>
  <headerFooter alignWithMargins="0">
    <oddFooter>&amp;C&amp;14-&amp;P--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I1"/>
  <sheetViews>
    <sheetView workbookViewId="0" topLeftCell="A1">
      <selection activeCell="A1" sqref="A1:IV16384"/>
    </sheetView>
  </sheetViews>
  <sheetFormatPr defaultColWidth="9.00390625" defaultRowHeight="79.5" customHeight="1"/>
  <cols>
    <col min="1" max="16384" width="9.00390625" style="3" customWidth="1"/>
  </cols>
  <sheetData>
    <row r="1" spans="1:9" s="2" customFormat="1" ht="79.5" customHeight="1">
      <c r="A1" s="227" t="s">
        <v>101</v>
      </c>
      <c r="B1" s="227"/>
      <c r="C1" s="227"/>
      <c r="D1" s="227"/>
      <c r="E1" s="227"/>
      <c r="F1" s="227"/>
      <c r="G1" s="227"/>
      <c r="H1" s="227"/>
      <c r="I1" s="1"/>
    </row>
  </sheetData>
  <mergeCells count="1">
    <mergeCell ref="A1:H1"/>
  </mergeCells>
  <printOptions horizontalCentered="1" verticalCentered="1"/>
  <pageMargins left="1.141732283464567" right="1.141732283464567" top="0.984251968503937" bottom="0.984251968503937" header="0.5118110236220472" footer="0.5118110236220472"/>
  <pageSetup firstPageNumber="12" useFirstPageNumber="1" horizontalDpi="600" verticalDpi="600" orientation="portrait" paperSize="9" r:id="rId1"/>
  <headerFooter alignWithMargins="0">
    <oddFooter>&amp;C-&amp;P--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</sheetPr>
  <dimension ref="A1:I1"/>
  <sheetViews>
    <sheetView workbookViewId="0" topLeftCell="A1">
      <selection activeCell="I1" sqref="I1"/>
    </sheetView>
  </sheetViews>
  <sheetFormatPr defaultColWidth="9.00390625" defaultRowHeight="79.5" customHeight="1"/>
  <cols>
    <col min="1" max="16384" width="9.00390625" style="3" customWidth="1"/>
  </cols>
  <sheetData>
    <row r="1" spans="1:9" s="2" customFormat="1" ht="79.5" customHeight="1">
      <c r="A1" s="224" t="s">
        <v>8</v>
      </c>
      <c r="B1" s="225"/>
      <c r="C1" s="225"/>
      <c r="D1" s="225"/>
      <c r="E1" s="225"/>
      <c r="F1" s="225"/>
      <c r="G1" s="225"/>
      <c r="H1" s="226"/>
      <c r="I1" s="1"/>
    </row>
  </sheetData>
  <mergeCells count="1">
    <mergeCell ref="A1:H1"/>
  </mergeCells>
  <printOptions horizontalCentered="1" verticalCentered="1"/>
  <pageMargins left="1.141732283464567" right="1.141732283464567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</sheetPr>
  <dimension ref="A1:F20"/>
  <sheetViews>
    <sheetView zoomScale="75" zoomScaleNormal="75" workbookViewId="0" topLeftCell="A1">
      <pane ySplit="6" topLeftCell="BM22" activePane="bottomLeft" state="frozen"/>
      <selection pane="topLeft" activeCell="A3" sqref="A3:G3"/>
      <selection pane="bottomLeft" activeCell="C20" sqref="C20"/>
    </sheetView>
  </sheetViews>
  <sheetFormatPr defaultColWidth="9.00390625" defaultRowHeight="147" customHeight="1"/>
  <cols>
    <col min="1" max="1" width="27.125" style="7" customWidth="1"/>
    <col min="2" max="3" width="21.125" style="7" customWidth="1"/>
    <col min="4" max="4" width="19.125" style="7" customWidth="1"/>
    <col min="5" max="5" width="10.00390625" style="7" customWidth="1"/>
    <col min="6" max="6" width="23.625" style="7" customWidth="1"/>
    <col min="7" max="16384" width="9.00390625" style="7" customWidth="1"/>
  </cols>
  <sheetData>
    <row r="1" spans="1:6" s="9" customFormat="1" ht="25.5">
      <c r="A1" s="233" t="s">
        <v>107</v>
      </c>
      <c r="B1" s="233"/>
      <c r="C1" s="233"/>
      <c r="D1" s="233"/>
      <c r="E1" s="233"/>
      <c r="F1" s="233"/>
    </row>
    <row r="2" spans="1:6" s="4" customFormat="1" ht="27.75">
      <c r="A2" s="221" t="s">
        <v>148</v>
      </c>
      <c r="B2" s="221"/>
      <c r="C2" s="221"/>
      <c r="D2" s="221"/>
      <c r="E2" s="221"/>
      <c r="F2" s="221"/>
    </row>
    <row r="3" spans="1:6" ht="19.5">
      <c r="A3" s="223" t="s">
        <v>333</v>
      </c>
      <c r="B3" s="223"/>
      <c r="C3" s="223"/>
      <c r="D3" s="223"/>
      <c r="E3" s="223"/>
      <c r="F3" s="223"/>
    </row>
    <row r="4" spans="1:6" ht="20.25" thickBot="1">
      <c r="A4" s="210" t="s">
        <v>109</v>
      </c>
      <c r="B4" s="210"/>
      <c r="C4" s="210"/>
      <c r="D4" s="210"/>
      <c r="E4" s="210"/>
      <c r="F4" s="210"/>
    </row>
    <row r="5" spans="1:6" s="11" customFormat="1" ht="45" customHeight="1">
      <c r="A5" s="199" t="s">
        <v>110</v>
      </c>
      <c r="B5" s="203" t="s">
        <v>169</v>
      </c>
      <c r="C5" s="201" t="s">
        <v>149</v>
      </c>
      <c r="D5" s="201" t="s">
        <v>112</v>
      </c>
      <c r="E5" s="201"/>
      <c r="F5" s="207" t="s">
        <v>150</v>
      </c>
    </row>
    <row r="6" spans="1:6" s="11" customFormat="1" ht="48.75" customHeight="1">
      <c r="A6" s="239"/>
      <c r="B6" s="241"/>
      <c r="C6" s="240"/>
      <c r="D6" s="33" t="s">
        <v>114</v>
      </c>
      <c r="E6" s="10" t="s">
        <v>115</v>
      </c>
      <c r="F6" s="238"/>
    </row>
    <row r="7" spans="1:6" s="11" customFormat="1" ht="48.75" customHeight="1">
      <c r="A7" s="66" t="s">
        <v>375</v>
      </c>
      <c r="B7" s="192">
        <f>SUM(B8,B10,B12,B16,B19)</f>
        <v>2532389000</v>
      </c>
      <c r="C7" s="192">
        <f>SUM(C8,C10,C12,C16,C19)</f>
        <v>2682560748</v>
      </c>
      <c r="D7" s="192">
        <f>SUM(D8,D10,D12,D16,D19)</f>
        <v>150171748</v>
      </c>
      <c r="E7" s="79">
        <f>ABS(D7/B7*100)</f>
        <v>5.9300426593228766</v>
      </c>
      <c r="F7" s="58" t="s">
        <v>353</v>
      </c>
    </row>
    <row r="8" spans="1:6" s="36" customFormat="1" ht="50.25" customHeight="1">
      <c r="A8" s="85" t="s">
        <v>376</v>
      </c>
      <c r="B8" s="113">
        <f>B9</f>
        <v>894000000</v>
      </c>
      <c r="C8" s="113">
        <f>C9</f>
        <v>1036226725</v>
      </c>
      <c r="D8" s="113">
        <f aca="true" t="shared" si="0" ref="D8:D20">C8-B8</f>
        <v>142226725</v>
      </c>
      <c r="E8" s="79">
        <f aca="true" t="shared" si="1" ref="E8:E20">ABS(D8/B8*100)</f>
        <v>15.909029642058165</v>
      </c>
      <c r="F8" s="58"/>
    </row>
    <row r="9" spans="1:6" ht="55.5" customHeight="1">
      <c r="A9" s="57" t="s">
        <v>377</v>
      </c>
      <c r="B9" s="112">
        <v>894000000</v>
      </c>
      <c r="C9" s="112">
        <v>1036226725</v>
      </c>
      <c r="D9" s="112">
        <f t="shared" si="0"/>
        <v>142226725</v>
      </c>
      <c r="E9" s="19">
        <f t="shared" si="1"/>
        <v>15.909029642058165</v>
      </c>
      <c r="F9" s="58" t="s">
        <v>323</v>
      </c>
    </row>
    <row r="10" spans="1:6" s="36" customFormat="1" ht="51" customHeight="1">
      <c r="A10" s="78" t="s">
        <v>378</v>
      </c>
      <c r="B10" s="113">
        <f>B11</f>
        <v>278513000</v>
      </c>
      <c r="C10" s="113">
        <f>C11</f>
        <v>273233564</v>
      </c>
      <c r="D10" s="113">
        <f t="shared" si="0"/>
        <v>-5279436</v>
      </c>
      <c r="E10" s="79">
        <f t="shared" si="1"/>
        <v>1.8955797395453715</v>
      </c>
      <c r="F10" s="59"/>
    </row>
    <row r="11" spans="1:6" ht="52.5" customHeight="1">
      <c r="A11" s="57" t="s">
        <v>379</v>
      </c>
      <c r="B11" s="112">
        <v>278513000</v>
      </c>
      <c r="C11" s="141">
        <v>273233564</v>
      </c>
      <c r="D11" s="112">
        <f t="shared" si="0"/>
        <v>-5279436</v>
      </c>
      <c r="E11" s="19">
        <f t="shared" si="1"/>
        <v>1.8955797395453715</v>
      </c>
      <c r="F11" s="58"/>
    </row>
    <row r="12" spans="1:6" s="36" customFormat="1" ht="53.25" customHeight="1">
      <c r="A12" s="78" t="s">
        <v>380</v>
      </c>
      <c r="B12" s="113">
        <f>B13+B14+B15</f>
        <v>2196000</v>
      </c>
      <c r="C12" s="113">
        <f>C13+C14+C15</f>
        <v>6017927</v>
      </c>
      <c r="D12" s="113">
        <f t="shared" si="0"/>
        <v>3821927</v>
      </c>
      <c r="E12" s="79">
        <f t="shared" si="1"/>
        <v>174.04039162112932</v>
      </c>
      <c r="F12" s="58"/>
    </row>
    <row r="13" spans="1:6" s="36" customFormat="1" ht="55.5" customHeight="1">
      <c r="A13" s="57" t="s">
        <v>381</v>
      </c>
      <c r="B13" s="112">
        <v>0</v>
      </c>
      <c r="C13" s="112">
        <v>1557799</v>
      </c>
      <c r="D13" s="112">
        <f>C13-B13</f>
        <v>1557799</v>
      </c>
      <c r="E13" s="79"/>
      <c r="F13" s="58" t="s">
        <v>354</v>
      </c>
    </row>
    <row r="14" spans="1:6" s="36" customFormat="1" ht="57.75" customHeight="1">
      <c r="A14" s="57" t="s">
        <v>382</v>
      </c>
      <c r="B14" s="112">
        <v>0</v>
      </c>
      <c r="C14" s="112">
        <v>180000</v>
      </c>
      <c r="D14" s="112">
        <f>C14-B14</f>
        <v>180000</v>
      </c>
      <c r="E14" s="79"/>
      <c r="F14" s="58" t="s">
        <v>311</v>
      </c>
    </row>
    <row r="15" spans="1:6" ht="49.5" customHeight="1">
      <c r="A15" s="57" t="s">
        <v>383</v>
      </c>
      <c r="B15" s="112">
        <v>2196000</v>
      </c>
      <c r="C15" s="112">
        <v>4280128</v>
      </c>
      <c r="D15" s="112">
        <f t="shared" si="0"/>
        <v>2084128</v>
      </c>
      <c r="E15" s="19">
        <f t="shared" si="1"/>
        <v>94.90564663023679</v>
      </c>
      <c r="F15" s="58" t="s">
        <v>349</v>
      </c>
    </row>
    <row r="16" spans="1:6" s="36" customFormat="1" ht="51" customHeight="1">
      <c r="A16" s="78" t="s">
        <v>384</v>
      </c>
      <c r="B16" s="113">
        <f>SUM(B17:B18)</f>
        <v>1349940000</v>
      </c>
      <c r="C16" s="113">
        <f>SUM(C17:C18)</f>
        <v>1349940000</v>
      </c>
      <c r="D16" s="113">
        <f>SUM(D17:D18)</f>
        <v>0</v>
      </c>
      <c r="E16" s="79"/>
      <c r="F16" s="59"/>
    </row>
    <row r="17" spans="1:6" s="36" customFormat="1" ht="49.5" customHeight="1">
      <c r="A17" s="57" t="s">
        <v>385</v>
      </c>
      <c r="B17" s="112">
        <v>1349940000</v>
      </c>
      <c r="C17" s="112">
        <v>1349940000</v>
      </c>
      <c r="D17" s="112">
        <f>C17-B17</f>
        <v>0</v>
      </c>
      <c r="E17" s="79"/>
      <c r="F17" s="59"/>
    </row>
    <row r="18" spans="1:6" s="36" customFormat="1" ht="49.5" customHeight="1" hidden="1">
      <c r="A18" s="40" t="s">
        <v>318</v>
      </c>
      <c r="B18" s="112">
        <v>0</v>
      </c>
      <c r="C18" s="112">
        <v>0</v>
      </c>
      <c r="D18" s="112">
        <f>C18-B18</f>
        <v>0</v>
      </c>
      <c r="E18" s="79" t="e">
        <f t="shared" si="1"/>
        <v>#DIV/0!</v>
      </c>
      <c r="F18" s="59"/>
    </row>
    <row r="19" spans="1:6" s="36" customFormat="1" ht="51" customHeight="1">
      <c r="A19" s="78" t="s">
        <v>386</v>
      </c>
      <c r="B19" s="113">
        <f>B20</f>
        <v>7740000</v>
      </c>
      <c r="C19" s="113">
        <f>C20</f>
        <v>17142532</v>
      </c>
      <c r="D19" s="113">
        <f t="shared" si="0"/>
        <v>9402532</v>
      </c>
      <c r="E19" s="79">
        <f t="shared" si="1"/>
        <v>121.47974160206718</v>
      </c>
      <c r="F19" s="58"/>
    </row>
    <row r="20" spans="1:6" ht="180" customHeight="1" thickBot="1">
      <c r="A20" s="193" t="s">
        <v>387</v>
      </c>
      <c r="B20" s="116">
        <v>7740000</v>
      </c>
      <c r="C20" s="154">
        <v>17142532</v>
      </c>
      <c r="D20" s="154">
        <f t="shared" si="0"/>
        <v>9402532</v>
      </c>
      <c r="E20" s="130">
        <f t="shared" si="1"/>
        <v>121.47974160206718</v>
      </c>
      <c r="F20" s="194" t="s">
        <v>350</v>
      </c>
    </row>
  </sheetData>
  <mergeCells count="9">
    <mergeCell ref="A1:F1"/>
    <mergeCell ref="A2:F2"/>
    <mergeCell ref="A3:F3"/>
    <mergeCell ref="A4:F4"/>
    <mergeCell ref="F5:F6"/>
    <mergeCell ref="A5:A6"/>
    <mergeCell ref="C5:C6"/>
    <mergeCell ref="D5:E5"/>
    <mergeCell ref="B5:B6"/>
  </mergeCells>
  <printOptions horizontalCentered="1"/>
  <pageMargins left="0.15748031496062992" right="0.15748031496062992" top="0.5905511811023623" bottom="0.7874015748031497" header="0.5118110236220472" footer="0.5118110236220472"/>
  <pageSetup firstPageNumber="13" useFirstPageNumber="1" horizontalDpi="600" verticalDpi="600" orientation="portrait" paperSize="9" scale="78" r:id="rId1"/>
  <headerFooter alignWithMargins="0">
    <oddFooter>&amp;C&amp;14-&amp;P--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4"/>
  </sheetPr>
  <dimension ref="A1:I103"/>
  <sheetViews>
    <sheetView zoomScale="75" zoomScaleNormal="75" workbookViewId="0" topLeftCell="A1">
      <pane xSplit="1" ySplit="6" topLeftCell="B7" activePane="bottomRight" state="frozen"/>
      <selection pane="topLeft" activeCell="A3" sqref="A3:G3"/>
      <selection pane="topRight" activeCell="A3" sqref="A3:G3"/>
      <selection pane="bottomLeft" activeCell="A3" sqref="A3:G3"/>
      <selection pane="bottomRight" activeCell="F60" sqref="F60:F62"/>
    </sheetView>
  </sheetViews>
  <sheetFormatPr defaultColWidth="9.00390625" defaultRowHeight="19.5" customHeight="1"/>
  <cols>
    <col min="1" max="1" width="33.50390625" style="7" customWidth="1"/>
    <col min="2" max="3" width="21.50390625" style="7" customWidth="1"/>
    <col min="4" max="4" width="19.125" style="7" customWidth="1"/>
    <col min="5" max="5" width="10.375" style="7" customWidth="1"/>
    <col min="6" max="6" width="16.125" style="7" customWidth="1"/>
    <col min="7" max="7" width="14.375" style="7" customWidth="1"/>
    <col min="8" max="8" width="21.625" style="7" customWidth="1"/>
    <col min="9" max="16384" width="9.00390625" style="7" customWidth="1"/>
  </cols>
  <sheetData>
    <row r="1" spans="1:6" s="9" customFormat="1" ht="25.5">
      <c r="A1" s="233" t="s">
        <v>151</v>
      </c>
      <c r="B1" s="233"/>
      <c r="C1" s="233"/>
      <c r="D1" s="233"/>
      <c r="E1" s="233"/>
      <c r="F1" s="233"/>
    </row>
    <row r="2" spans="1:6" s="4" customFormat="1" ht="27.75">
      <c r="A2" s="221" t="s">
        <v>152</v>
      </c>
      <c r="B2" s="221"/>
      <c r="C2" s="221"/>
      <c r="D2" s="221"/>
      <c r="E2" s="221"/>
      <c r="F2" s="221"/>
    </row>
    <row r="3" spans="1:6" ht="19.5">
      <c r="A3" s="223" t="s">
        <v>330</v>
      </c>
      <c r="B3" s="223"/>
      <c r="C3" s="223"/>
      <c r="D3" s="223"/>
      <c r="E3" s="223"/>
      <c r="F3" s="223"/>
    </row>
    <row r="4" spans="1:6" ht="20.25" thickBot="1">
      <c r="A4" s="210" t="s">
        <v>153</v>
      </c>
      <c r="B4" s="210"/>
      <c r="C4" s="210"/>
      <c r="D4" s="210"/>
      <c r="E4" s="210"/>
      <c r="F4" s="210"/>
    </row>
    <row r="5" spans="1:6" s="11" customFormat="1" ht="43.5" customHeight="1">
      <c r="A5" s="199" t="s">
        <v>154</v>
      </c>
      <c r="B5" s="203" t="s">
        <v>169</v>
      </c>
      <c r="C5" s="201" t="s">
        <v>155</v>
      </c>
      <c r="D5" s="201" t="s">
        <v>156</v>
      </c>
      <c r="E5" s="201"/>
      <c r="F5" s="207" t="s">
        <v>157</v>
      </c>
    </row>
    <row r="6" spans="1:6" s="11" customFormat="1" ht="43.5" customHeight="1">
      <c r="A6" s="200"/>
      <c r="B6" s="241"/>
      <c r="C6" s="246"/>
      <c r="D6" s="10" t="s">
        <v>158</v>
      </c>
      <c r="E6" s="10" t="s">
        <v>159</v>
      </c>
      <c r="F6" s="238"/>
    </row>
    <row r="7" spans="1:6" s="11" customFormat="1" ht="27.75" customHeight="1">
      <c r="A7" s="69" t="s">
        <v>388</v>
      </c>
      <c r="B7" s="113">
        <f>SUM(B8,B47,B60,B63,B66,B69)</f>
        <v>2913216000</v>
      </c>
      <c r="C7" s="113">
        <f>SUM(C8,C47,C60,C63,C66,C69)</f>
        <v>2473660042</v>
      </c>
      <c r="D7" s="113">
        <f>SUM(D8,D47,D60,D63,D66,D69)</f>
        <v>-439555958</v>
      </c>
      <c r="E7" s="79">
        <f>ABS(D7/B7*100)</f>
        <v>15.088340789011182</v>
      </c>
      <c r="F7" s="244" t="s">
        <v>305</v>
      </c>
    </row>
    <row r="8" spans="1:6" s="36" customFormat="1" ht="22.5" customHeight="1">
      <c r="A8" s="80" t="s">
        <v>389</v>
      </c>
      <c r="B8" s="113">
        <f>B9+B16+B26+B29+B35+B38+B41+B45</f>
        <v>1633674000</v>
      </c>
      <c r="C8" s="113">
        <f>C9+C16+C26+C29+C35+C38+C41+C45</f>
        <v>1501771024</v>
      </c>
      <c r="D8" s="113">
        <f aca="true" t="shared" si="0" ref="D8:D26">C8-B8</f>
        <v>-131902976</v>
      </c>
      <c r="E8" s="79">
        <f>ABS(D8/B8*100)</f>
        <v>8.074008400696835</v>
      </c>
      <c r="F8" s="245"/>
    </row>
    <row r="9" spans="1:6" s="36" customFormat="1" ht="22.5" customHeight="1">
      <c r="A9" s="80" t="s">
        <v>433</v>
      </c>
      <c r="B9" s="113">
        <f>B10+B11+B12+B13+B14+B15</f>
        <v>876088000</v>
      </c>
      <c r="C9" s="113">
        <f>C10+C11+C12+C13+C14+C15</f>
        <v>841885905</v>
      </c>
      <c r="D9" s="113">
        <f t="shared" si="0"/>
        <v>-34202095</v>
      </c>
      <c r="E9" s="79">
        <f>ABS(D9/B9*100)</f>
        <v>3.903956566007068</v>
      </c>
      <c r="F9" s="245"/>
    </row>
    <row r="10" spans="1:6" ht="19.5" customHeight="1">
      <c r="A10" s="61" t="s">
        <v>390</v>
      </c>
      <c r="B10" s="112">
        <v>534360000</v>
      </c>
      <c r="C10" s="112">
        <v>497710088</v>
      </c>
      <c r="D10" s="112">
        <f t="shared" si="0"/>
        <v>-36649912</v>
      </c>
      <c r="E10" s="19">
        <f aca="true" t="shared" si="1" ref="E10:E73">ABS(D10/B10*100)</f>
        <v>6.8586555879931135</v>
      </c>
      <c r="F10" s="58"/>
    </row>
    <row r="11" spans="1:6" ht="19.5" customHeight="1">
      <c r="A11" s="61" t="s">
        <v>391</v>
      </c>
      <c r="B11" s="112">
        <v>33413000</v>
      </c>
      <c r="C11" s="112">
        <v>34449962</v>
      </c>
      <c r="D11" s="112">
        <f t="shared" si="0"/>
        <v>1036962</v>
      </c>
      <c r="E11" s="19">
        <f t="shared" si="1"/>
        <v>3.103468709783617</v>
      </c>
      <c r="F11" s="58"/>
    </row>
    <row r="12" spans="1:6" ht="19.5" customHeight="1">
      <c r="A12" s="61" t="s">
        <v>392</v>
      </c>
      <c r="B12" s="112">
        <v>28098000</v>
      </c>
      <c r="C12" s="112">
        <v>23070155</v>
      </c>
      <c r="D12" s="112">
        <f t="shared" si="0"/>
        <v>-5027845</v>
      </c>
      <c r="E12" s="19">
        <f t="shared" si="1"/>
        <v>17.893960424229483</v>
      </c>
      <c r="F12" s="58"/>
    </row>
    <row r="13" spans="1:6" ht="19.5" customHeight="1">
      <c r="A13" s="61" t="s">
        <v>393</v>
      </c>
      <c r="B13" s="112">
        <v>148959000</v>
      </c>
      <c r="C13" s="112">
        <v>159935683</v>
      </c>
      <c r="D13" s="112">
        <f t="shared" si="0"/>
        <v>10976683</v>
      </c>
      <c r="E13" s="19">
        <f t="shared" si="1"/>
        <v>7.368929034163763</v>
      </c>
      <c r="F13" s="58"/>
    </row>
    <row r="14" spans="1:6" ht="19.5" customHeight="1">
      <c r="A14" s="61" t="s">
        <v>394</v>
      </c>
      <c r="B14" s="112">
        <v>58182000</v>
      </c>
      <c r="C14" s="112">
        <v>55250050</v>
      </c>
      <c r="D14" s="112">
        <f t="shared" si="0"/>
        <v>-2931950</v>
      </c>
      <c r="E14" s="19">
        <f t="shared" si="1"/>
        <v>5.039273314770892</v>
      </c>
      <c r="F14" s="58"/>
    </row>
    <row r="15" spans="1:6" ht="19.5" customHeight="1">
      <c r="A15" s="61" t="s">
        <v>395</v>
      </c>
      <c r="B15" s="112">
        <v>73076000</v>
      </c>
      <c r="C15" s="112">
        <v>71469967</v>
      </c>
      <c r="D15" s="112">
        <f t="shared" si="0"/>
        <v>-1606033</v>
      </c>
      <c r="E15" s="19">
        <f t="shared" si="1"/>
        <v>2.1977571295637417</v>
      </c>
      <c r="F15" s="58"/>
    </row>
    <row r="16" spans="1:6" s="36" customFormat="1" ht="21.75" customHeight="1">
      <c r="A16" s="80" t="s">
        <v>434</v>
      </c>
      <c r="B16" s="113">
        <f>B17+B18+B19+B20+B21+B22+B23+B24+B25</f>
        <v>310843000</v>
      </c>
      <c r="C16" s="113">
        <f>C17+C18+C19+C20+C21+C22+C23+C24+C25</f>
        <v>281409271</v>
      </c>
      <c r="D16" s="113">
        <f t="shared" si="0"/>
        <v>-29433729</v>
      </c>
      <c r="E16" s="79">
        <f t="shared" si="1"/>
        <v>9.469001714691982</v>
      </c>
      <c r="F16" s="84"/>
    </row>
    <row r="17" spans="1:6" ht="19.5" customHeight="1">
      <c r="A17" s="61" t="s">
        <v>396</v>
      </c>
      <c r="B17" s="112">
        <v>48109000</v>
      </c>
      <c r="C17" s="112">
        <v>42639830</v>
      </c>
      <c r="D17" s="112">
        <f t="shared" si="0"/>
        <v>-5469170</v>
      </c>
      <c r="E17" s="19">
        <f t="shared" si="1"/>
        <v>11.368288677794176</v>
      </c>
      <c r="F17" s="58"/>
    </row>
    <row r="18" spans="1:6" ht="19.5" customHeight="1">
      <c r="A18" s="61" t="s">
        <v>397</v>
      </c>
      <c r="B18" s="112">
        <v>5961000</v>
      </c>
      <c r="C18" s="112">
        <v>4572819</v>
      </c>
      <c r="D18" s="112">
        <f t="shared" si="0"/>
        <v>-1388181</v>
      </c>
      <c r="E18" s="19">
        <f t="shared" si="1"/>
        <v>23.287720181177654</v>
      </c>
      <c r="F18" s="58"/>
    </row>
    <row r="19" spans="1:6" ht="19.5" customHeight="1">
      <c r="A19" s="61" t="s">
        <v>398</v>
      </c>
      <c r="B19" s="112">
        <v>12252000</v>
      </c>
      <c r="C19" s="112">
        <v>10902291</v>
      </c>
      <c r="D19" s="112">
        <f t="shared" si="0"/>
        <v>-1349709</v>
      </c>
      <c r="E19" s="19">
        <f t="shared" si="1"/>
        <v>11.016234084231145</v>
      </c>
      <c r="F19" s="58"/>
    </row>
    <row r="20" spans="1:6" ht="19.5" customHeight="1">
      <c r="A20" s="61" t="s">
        <v>399</v>
      </c>
      <c r="B20" s="112">
        <v>2510000</v>
      </c>
      <c r="C20" s="112">
        <v>1978671</v>
      </c>
      <c r="D20" s="112">
        <f t="shared" si="0"/>
        <v>-531329</v>
      </c>
      <c r="E20" s="19">
        <f t="shared" si="1"/>
        <v>21.168486055776892</v>
      </c>
      <c r="F20" s="58"/>
    </row>
    <row r="21" spans="1:6" ht="19.5" customHeight="1">
      <c r="A21" s="61" t="s">
        <v>400</v>
      </c>
      <c r="B21" s="112">
        <v>36580000</v>
      </c>
      <c r="C21" s="141">
        <v>32144334</v>
      </c>
      <c r="D21" s="112">
        <f t="shared" si="0"/>
        <v>-4435666</v>
      </c>
      <c r="E21" s="19">
        <f t="shared" si="1"/>
        <v>12.12593220338983</v>
      </c>
      <c r="F21" s="58"/>
    </row>
    <row r="22" spans="1:6" ht="19.5" customHeight="1">
      <c r="A22" s="61" t="s">
        <v>401</v>
      </c>
      <c r="B22" s="112">
        <v>1771000</v>
      </c>
      <c r="C22" s="141">
        <v>1128091</v>
      </c>
      <c r="D22" s="112">
        <f>C22-B22</f>
        <v>-642909</v>
      </c>
      <c r="E22" s="19">
        <f t="shared" si="1"/>
        <v>36.30203274985884</v>
      </c>
      <c r="F22" s="58"/>
    </row>
    <row r="23" spans="1:6" ht="19.5" customHeight="1">
      <c r="A23" s="60" t="s">
        <v>402</v>
      </c>
      <c r="B23" s="112">
        <v>170584000</v>
      </c>
      <c r="C23" s="141">
        <v>160896778</v>
      </c>
      <c r="D23" s="112">
        <f t="shared" si="0"/>
        <v>-9687222</v>
      </c>
      <c r="E23" s="19">
        <f t="shared" si="1"/>
        <v>5.678857337147681</v>
      </c>
      <c r="F23" s="58"/>
    </row>
    <row r="24" spans="1:6" ht="19.5" customHeight="1">
      <c r="A24" s="61" t="s">
        <v>403</v>
      </c>
      <c r="B24" s="112">
        <v>31480000</v>
      </c>
      <c r="C24" s="141">
        <v>25552648</v>
      </c>
      <c r="D24" s="112">
        <f t="shared" si="0"/>
        <v>-5927352</v>
      </c>
      <c r="E24" s="19">
        <f t="shared" si="1"/>
        <v>18.82894536213469</v>
      </c>
      <c r="F24" s="58"/>
    </row>
    <row r="25" spans="1:6" ht="19.5" customHeight="1">
      <c r="A25" s="61" t="s">
        <v>404</v>
      </c>
      <c r="B25" s="112">
        <v>1596000</v>
      </c>
      <c r="C25" s="141">
        <v>1593809</v>
      </c>
      <c r="D25" s="112">
        <f>C25-B25</f>
        <v>-2191</v>
      </c>
      <c r="E25" s="19">
        <f t="shared" si="1"/>
        <v>0.13728070175438595</v>
      </c>
      <c r="F25" s="58"/>
    </row>
    <row r="26" spans="1:6" s="36" customFormat="1" ht="21.75" customHeight="1">
      <c r="A26" s="80" t="s">
        <v>435</v>
      </c>
      <c r="B26" s="113">
        <f>B27+B28</f>
        <v>230398000</v>
      </c>
      <c r="C26" s="155">
        <f>C27+C28</f>
        <v>205315581</v>
      </c>
      <c r="D26" s="113">
        <f t="shared" si="0"/>
        <v>-25082419</v>
      </c>
      <c r="E26" s="79">
        <f t="shared" si="1"/>
        <v>10.886561081259385</v>
      </c>
      <c r="F26" s="84"/>
    </row>
    <row r="27" spans="1:6" ht="19.5" customHeight="1">
      <c r="A27" s="61" t="s">
        <v>405</v>
      </c>
      <c r="B27" s="112">
        <v>10749000</v>
      </c>
      <c r="C27" s="141">
        <v>8024065</v>
      </c>
      <c r="D27" s="112">
        <f aca="true" t="shared" si="2" ref="D27:D41">C27-B27</f>
        <v>-2724935</v>
      </c>
      <c r="E27" s="19">
        <f t="shared" si="1"/>
        <v>25.35059075262815</v>
      </c>
      <c r="F27" s="58"/>
    </row>
    <row r="28" spans="1:6" ht="19.5" customHeight="1">
      <c r="A28" s="61" t="s">
        <v>406</v>
      </c>
      <c r="B28" s="112">
        <v>219649000</v>
      </c>
      <c r="C28" s="141">
        <v>197291516</v>
      </c>
      <c r="D28" s="112">
        <f t="shared" si="2"/>
        <v>-22357484</v>
      </c>
      <c r="E28" s="19">
        <f t="shared" si="1"/>
        <v>10.178732432198643</v>
      </c>
      <c r="F28" s="58"/>
    </row>
    <row r="29" spans="1:6" s="36" customFormat="1" ht="22.5" customHeight="1">
      <c r="A29" s="80" t="s">
        <v>436</v>
      </c>
      <c r="B29" s="113">
        <f>B30+B31+B32+B33+B34</f>
        <v>3284000</v>
      </c>
      <c r="C29" s="155">
        <f>C30+C31+C32+C33+C34</f>
        <v>2832856</v>
      </c>
      <c r="D29" s="113">
        <f t="shared" si="2"/>
        <v>-451144</v>
      </c>
      <c r="E29" s="79">
        <f t="shared" si="1"/>
        <v>13.737637028014616</v>
      </c>
      <c r="F29" s="195"/>
    </row>
    <row r="30" spans="1:6" ht="19.5" customHeight="1">
      <c r="A30" s="61" t="s">
        <v>407</v>
      </c>
      <c r="B30" s="112">
        <v>800000</v>
      </c>
      <c r="C30" s="141">
        <v>787996</v>
      </c>
      <c r="D30" s="112">
        <f t="shared" si="2"/>
        <v>-12004</v>
      </c>
      <c r="E30" s="19">
        <f t="shared" si="1"/>
        <v>1.5005</v>
      </c>
      <c r="F30" s="59"/>
    </row>
    <row r="31" spans="1:6" ht="19.5" customHeight="1">
      <c r="A31" s="61" t="s">
        <v>408</v>
      </c>
      <c r="B31" s="112">
        <v>180000</v>
      </c>
      <c r="C31" s="141">
        <v>120000</v>
      </c>
      <c r="D31" s="112">
        <f>C31-B31</f>
        <v>-60000</v>
      </c>
      <c r="E31" s="19">
        <f t="shared" si="1"/>
        <v>33.33333333333333</v>
      </c>
      <c r="F31" s="59"/>
    </row>
    <row r="32" spans="1:6" ht="19.5" customHeight="1">
      <c r="A32" s="61" t="s">
        <v>409</v>
      </c>
      <c r="B32" s="112">
        <v>1358000</v>
      </c>
      <c r="C32" s="141">
        <v>1089778</v>
      </c>
      <c r="D32" s="112">
        <f t="shared" si="2"/>
        <v>-268222</v>
      </c>
      <c r="E32" s="19">
        <f t="shared" si="1"/>
        <v>19.75125184094256</v>
      </c>
      <c r="F32" s="59"/>
    </row>
    <row r="33" spans="1:6" ht="19.5" customHeight="1">
      <c r="A33" s="61" t="s">
        <v>410</v>
      </c>
      <c r="B33" s="112">
        <v>670000</v>
      </c>
      <c r="C33" s="141">
        <v>634400</v>
      </c>
      <c r="D33" s="112">
        <f t="shared" si="2"/>
        <v>-35600</v>
      </c>
      <c r="E33" s="19">
        <f t="shared" si="1"/>
        <v>5.313432835820896</v>
      </c>
      <c r="F33" s="59"/>
    </row>
    <row r="34" spans="1:6" ht="19.5" customHeight="1">
      <c r="A34" s="61" t="s">
        <v>411</v>
      </c>
      <c r="B34" s="112">
        <v>276000</v>
      </c>
      <c r="C34" s="141">
        <v>200682</v>
      </c>
      <c r="D34" s="112">
        <f aca="true" t="shared" si="3" ref="D34:D40">C34-B34</f>
        <v>-75318</v>
      </c>
      <c r="E34" s="19">
        <f t="shared" si="1"/>
        <v>27.28913043478261</v>
      </c>
      <c r="F34" s="59"/>
    </row>
    <row r="35" spans="1:6" s="36" customFormat="1" ht="49.5" customHeight="1">
      <c r="A35" s="185" t="s">
        <v>412</v>
      </c>
      <c r="B35" s="113">
        <f>B36+B37</f>
        <v>66323000</v>
      </c>
      <c r="C35" s="155">
        <f>C36+C37</f>
        <v>46390384</v>
      </c>
      <c r="D35" s="113">
        <f t="shared" si="3"/>
        <v>-19932616</v>
      </c>
      <c r="E35" s="79">
        <f t="shared" si="1"/>
        <v>30.053851605023894</v>
      </c>
      <c r="F35" s="84"/>
    </row>
    <row r="36" spans="1:6" ht="19.5" customHeight="1">
      <c r="A36" s="61" t="s">
        <v>413</v>
      </c>
      <c r="B36" s="112">
        <v>66323000</v>
      </c>
      <c r="C36" s="141">
        <v>46390384</v>
      </c>
      <c r="D36" s="112">
        <f t="shared" si="3"/>
        <v>-19932616</v>
      </c>
      <c r="E36" s="19">
        <f t="shared" si="1"/>
        <v>30.053851605023894</v>
      </c>
      <c r="F36" s="58"/>
    </row>
    <row r="37" spans="1:6" ht="19.5" customHeight="1" hidden="1">
      <c r="A37" s="61" t="s">
        <v>160</v>
      </c>
      <c r="B37" s="112">
        <v>0</v>
      </c>
      <c r="C37" s="141">
        <v>0</v>
      </c>
      <c r="D37" s="112">
        <f t="shared" si="3"/>
        <v>0</v>
      </c>
      <c r="E37" s="19" t="e">
        <f t="shared" si="1"/>
        <v>#DIV/0!</v>
      </c>
      <c r="F37" s="58"/>
    </row>
    <row r="38" spans="1:6" s="36" customFormat="1" ht="39.75" customHeight="1">
      <c r="A38" s="185" t="s">
        <v>437</v>
      </c>
      <c r="B38" s="113">
        <f>B39+B40</f>
        <v>1244000</v>
      </c>
      <c r="C38" s="155">
        <f>C39+C40</f>
        <v>943743</v>
      </c>
      <c r="D38" s="113">
        <f t="shared" si="3"/>
        <v>-300257</v>
      </c>
      <c r="E38" s="79">
        <f t="shared" si="1"/>
        <v>24.136414790996785</v>
      </c>
      <c r="F38" s="84"/>
    </row>
    <row r="39" spans="1:6" ht="19.5" customHeight="1">
      <c r="A39" s="61" t="s">
        <v>414</v>
      </c>
      <c r="B39" s="112">
        <v>456000</v>
      </c>
      <c r="C39" s="141">
        <v>397399</v>
      </c>
      <c r="D39" s="112">
        <f t="shared" si="3"/>
        <v>-58601</v>
      </c>
      <c r="E39" s="19">
        <f t="shared" si="1"/>
        <v>12.85109649122807</v>
      </c>
      <c r="F39" s="58"/>
    </row>
    <row r="40" spans="1:6" ht="19.5" customHeight="1">
      <c r="A40" s="61" t="s">
        <v>415</v>
      </c>
      <c r="B40" s="112">
        <v>788000</v>
      </c>
      <c r="C40" s="141">
        <v>546344</v>
      </c>
      <c r="D40" s="112">
        <f t="shared" si="3"/>
        <v>-241656</v>
      </c>
      <c r="E40" s="19">
        <f t="shared" si="1"/>
        <v>30.667005076142136</v>
      </c>
      <c r="F40" s="58"/>
    </row>
    <row r="41" spans="1:6" s="36" customFormat="1" ht="42.75" customHeight="1" thickBot="1">
      <c r="A41" s="197" t="s">
        <v>438</v>
      </c>
      <c r="B41" s="156">
        <f>B42+B43+B44</f>
        <v>130562000</v>
      </c>
      <c r="C41" s="183">
        <f>C42+C43+C44</f>
        <v>110904577</v>
      </c>
      <c r="D41" s="156">
        <f t="shared" si="2"/>
        <v>-19657423</v>
      </c>
      <c r="E41" s="82">
        <f t="shared" si="1"/>
        <v>15.056006341814617</v>
      </c>
      <c r="F41" s="198"/>
    </row>
    <row r="42" spans="1:6" ht="24.75" customHeight="1">
      <c r="A42" s="61" t="s">
        <v>416</v>
      </c>
      <c r="B42" s="112">
        <v>192000</v>
      </c>
      <c r="C42" s="141">
        <v>169000</v>
      </c>
      <c r="D42" s="112">
        <f aca="true" t="shared" si="4" ref="D42:D72">C42-B42</f>
        <v>-23000</v>
      </c>
      <c r="E42" s="19">
        <f t="shared" si="1"/>
        <v>11.979166666666668</v>
      </c>
      <c r="F42" s="58"/>
    </row>
    <row r="43" spans="1:6" ht="23.25" customHeight="1">
      <c r="A43" s="61" t="s">
        <v>417</v>
      </c>
      <c r="B43" s="112">
        <v>124805000</v>
      </c>
      <c r="C43" s="141">
        <v>105411648</v>
      </c>
      <c r="D43" s="112">
        <f t="shared" si="4"/>
        <v>-19393352</v>
      </c>
      <c r="E43" s="19">
        <f t="shared" si="1"/>
        <v>15.538922318817356</v>
      </c>
      <c r="F43" s="58"/>
    </row>
    <row r="44" spans="1:6" ht="39.75" customHeight="1">
      <c r="A44" s="60" t="s">
        <v>418</v>
      </c>
      <c r="B44" s="112">
        <v>5565000</v>
      </c>
      <c r="C44" s="141">
        <v>5323929</v>
      </c>
      <c r="D44" s="112">
        <f t="shared" si="4"/>
        <v>-241071</v>
      </c>
      <c r="E44" s="19">
        <f t="shared" si="1"/>
        <v>4.331913746630728</v>
      </c>
      <c r="F44" s="58"/>
    </row>
    <row r="45" spans="1:6" s="36" customFormat="1" ht="19.5" customHeight="1">
      <c r="A45" s="80" t="s">
        <v>439</v>
      </c>
      <c r="B45" s="113">
        <f>B46</f>
        <v>14932000</v>
      </c>
      <c r="C45" s="155">
        <f>C46</f>
        <v>12088707</v>
      </c>
      <c r="D45" s="113">
        <f t="shared" si="4"/>
        <v>-2843293</v>
      </c>
      <c r="E45" s="79">
        <f t="shared" si="1"/>
        <v>19.041608625770156</v>
      </c>
      <c r="F45" s="196"/>
    </row>
    <row r="46" spans="1:8" ht="23.25" customHeight="1">
      <c r="A46" s="61" t="s">
        <v>419</v>
      </c>
      <c r="B46" s="112">
        <v>14932000</v>
      </c>
      <c r="C46" s="141">
        <v>12088707</v>
      </c>
      <c r="D46" s="112">
        <f t="shared" si="4"/>
        <v>-2843293</v>
      </c>
      <c r="E46" s="19">
        <f t="shared" si="1"/>
        <v>19.041608625770156</v>
      </c>
      <c r="F46" s="58"/>
      <c r="G46" s="146"/>
      <c r="H46" s="146"/>
    </row>
    <row r="47" spans="1:6" ht="23.25" customHeight="1">
      <c r="A47" s="80" t="s">
        <v>420</v>
      </c>
      <c r="B47" s="113">
        <f>B48+B53+B56+B58</f>
        <v>3564000</v>
      </c>
      <c r="C47" s="113">
        <f>C48+C53+C56+C58</f>
        <v>3255121</v>
      </c>
      <c r="D47" s="113">
        <f t="shared" si="4"/>
        <v>-308879</v>
      </c>
      <c r="E47" s="79">
        <f t="shared" si="1"/>
        <v>8.666638608305274</v>
      </c>
      <c r="F47" s="84"/>
    </row>
    <row r="48" spans="1:6" s="36" customFormat="1" ht="19.5" customHeight="1">
      <c r="A48" s="80" t="s">
        <v>433</v>
      </c>
      <c r="B48" s="113">
        <f>B49+B50+B51+B52</f>
        <v>1488000</v>
      </c>
      <c r="C48" s="113">
        <f>C49+C50+C51+C52</f>
        <v>1437692</v>
      </c>
      <c r="D48" s="113">
        <f t="shared" si="4"/>
        <v>-50308</v>
      </c>
      <c r="E48" s="79">
        <f t="shared" si="1"/>
        <v>3.3809139784946236</v>
      </c>
      <c r="F48" s="84"/>
    </row>
    <row r="49" spans="1:6" ht="19.5" customHeight="1">
      <c r="A49" s="61" t="s">
        <v>391</v>
      </c>
      <c r="B49" s="112">
        <v>1102000</v>
      </c>
      <c r="C49" s="112">
        <v>1074150</v>
      </c>
      <c r="D49" s="112">
        <f t="shared" si="4"/>
        <v>-27850</v>
      </c>
      <c r="E49" s="19">
        <f t="shared" si="1"/>
        <v>2.527223230490018</v>
      </c>
      <c r="F49" s="58"/>
    </row>
    <row r="50" spans="1:6" ht="19.5" customHeight="1">
      <c r="A50" s="61" t="s">
        <v>421</v>
      </c>
      <c r="B50" s="112">
        <v>139000</v>
      </c>
      <c r="C50" s="112">
        <v>132300</v>
      </c>
      <c r="D50" s="112">
        <f t="shared" si="4"/>
        <v>-6700</v>
      </c>
      <c r="E50" s="19">
        <f t="shared" si="1"/>
        <v>4.820143884892087</v>
      </c>
      <c r="F50" s="58"/>
    </row>
    <row r="51" spans="1:6" ht="19.5" customHeight="1">
      <c r="A51" s="61" t="s">
        <v>394</v>
      </c>
      <c r="B51" s="112">
        <v>68000</v>
      </c>
      <c r="C51" s="112">
        <v>64986</v>
      </c>
      <c r="D51" s="112">
        <f t="shared" si="4"/>
        <v>-3014</v>
      </c>
      <c r="E51" s="19">
        <f t="shared" si="1"/>
        <v>4.432352941176471</v>
      </c>
      <c r="F51" s="58"/>
    </row>
    <row r="52" spans="1:6" ht="19.5" customHeight="1">
      <c r="A52" s="61" t="s">
        <v>422</v>
      </c>
      <c r="B52" s="112">
        <v>179000</v>
      </c>
      <c r="C52" s="112">
        <v>166256</v>
      </c>
      <c r="D52" s="112">
        <f t="shared" si="4"/>
        <v>-12744</v>
      </c>
      <c r="E52" s="19">
        <f t="shared" si="1"/>
        <v>7.119553072625698</v>
      </c>
      <c r="F52" s="58"/>
    </row>
    <row r="53" spans="1:6" s="36" customFormat="1" ht="19.5" customHeight="1">
      <c r="A53" s="80" t="s">
        <v>440</v>
      </c>
      <c r="B53" s="113">
        <f>B54+B55</f>
        <v>879000</v>
      </c>
      <c r="C53" s="113">
        <f>C54+C55</f>
        <v>699180</v>
      </c>
      <c r="D53" s="113">
        <f t="shared" si="4"/>
        <v>-179820</v>
      </c>
      <c r="E53" s="79">
        <f t="shared" si="1"/>
        <v>20.457337883959045</v>
      </c>
      <c r="F53" s="84"/>
    </row>
    <row r="54" spans="1:6" ht="24.75" customHeight="1">
      <c r="A54" s="61" t="s">
        <v>401</v>
      </c>
      <c r="B54" s="112">
        <v>41000</v>
      </c>
      <c r="C54" s="112">
        <v>23180</v>
      </c>
      <c r="D54" s="112">
        <f t="shared" si="4"/>
        <v>-17820</v>
      </c>
      <c r="E54" s="19">
        <f t="shared" si="1"/>
        <v>43.46341463414634</v>
      </c>
      <c r="F54" s="58"/>
    </row>
    <row r="55" spans="1:6" ht="21.75" customHeight="1">
      <c r="A55" s="61" t="s">
        <v>403</v>
      </c>
      <c r="B55" s="112">
        <v>838000</v>
      </c>
      <c r="C55" s="112">
        <v>676000</v>
      </c>
      <c r="D55" s="112">
        <f t="shared" si="4"/>
        <v>-162000</v>
      </c>
      <c r="E55" s="19">
        <f t="shared" si="1"/>
        <v>19.331742243436754</v>
      </c>
      <c r="F55" s="58"/>
    </row>
    <row r="56" spans="1:6" s="36" customFormat="1" ht="22.5" customHeight="1">
      <c r="A56" s="80" t="s">
        <v>435</v>
      </c>
      <c r="B56" s="113">
        <f>B57</f>
        <v>1194000</v>
      </c>
      <c r="C56" s="113">
        <f>C57</f>
        <v>1115249</v>
      </c>
      <c r="D56" s="113">
        <f t="shared" si="4"/>
        <v>-78751</v>
      </c>
      <c r="E56" s="79">
        <f t="shared" si="1"/>
        <v>6.595561139028476</v>
      </c>
      <c r="F56" s="84"/>
    </row>
    <row r="57" spans="1:6" ht="19.5" customHeight="1">
      <c r="A57" s="61" t="s">
        <v>423</v>
      </c>
      <c r="B57" s="112">
        <v>1194000</v>
      </c>
      <c r="C57" s="112">
        <v>1115249</v>
      </c>
      <c r="D57" s="112">
        <f t="shared" si="4"/>
        <v>-78751</v>
      </c>
      <c r="E57" s="19">
        <f t="shared" si="1"/>
        <v>6.595561139028476</v>
      </c>
      <c r="F57" s="58"/>
    </row>
    <row r="58" spans="1:6" s="36" customFormat="1" ht="39.75" customHeight="1">
      <c r="A58" s="185" t="s">
        <v>438</v>
      </c>
      <c r="B58" s="113">
        <f>B59</f>
        <v>3000</v>
      </c>
      <c r="C58" s="113">
        <f>C59</f>
        <v>3000</v>
      </c>
      <c r="D58" s="113">
        <f t="shared" si="4"/>
        <v>0</v>
      </c>
      <c r="E58" s="79"/>
      <c r="F58" s="84"/>
    </row>
    <row r="59" spans="1:6" ht="19.5" customHeight="1">
      <c r="A59" s="61" t="s">
        <v>424</v>
      </c>
      <c r="B59" s="112">
        <v>3000</v>
      </c>
      <c r="C59" s="112">
        <v>3000</v>
      </c>
      <c r="D59" s="112">
        <f t="shared" si="4"/>
        <v>0</v>
      </c>
      <c r="E59" s="19"/>
      <c r="F59" s="58"/>
    </row>
    <row r="60" spans="1:6" s="36" customFormat="1" ht="36" customHeight="1">
      <c r="A60" s="80" t="s">
        <v>425</v>
      </c>
      <c r="B60" s="113">
        <f>B61</f>
        <v>1155744000</v>
      </c>
      <c r="C60" s="113">
        <f>C61</f>
        <v>955840330</v>
      </c>
      <c r="D60" s="155">
        <f t="shared" si="4"/>
        <v>-199903670</v>
      </c>
      <c r="E60" s="79">
        <f t="shared" si="1"/>
        <v>17.296535391920703</v>
      </c>
      <c r="F60" s="242" t="s">
        <v>446</v>
      </c>
    </row>
    <row r="61" spans="1:6" s="36" customFormat="1" ht="50.25" customHeight="1">
      <c r="A61" s="185" t="s">
        <v>441</v>
      </c>
      <c r="B61" s="113">
        <f>B62</f>
        <v>1155744000</v>
      </c>
      <c r="C61" s="155">
        <f>C62</f>
        <v>955840330</v>
      </c>
      <c r="D61" s="155">
        <f aca="true" t="shared" si="5" ref="D61:D68">C61-B61</f>
        <v>-199903670</v>
      </c>
      <c r="E61" s="79">
        <f t="shared" si="1"/>
        <v>17.296535391920703</v>
      </c>
      <c r="F61" s="242"/>
    </row>
    <row r="62" spans="1:6" s="36" customFormat="1" ht="24.75" customHeight="1">
      <c r="A62" s="61" t="s">
        <v>417</v>
      </c>
      <c r="B62" s="112">
        <v>1155744000</v>
      </c>
      <c r="C62" s="141">
        <v>955840330</v>
      </c>
      <c r="D62" s="141">
        <f t="shared" si="5"/>
        <v>-199903670</v>
      </c>
      <c r="E62" s="19">
        <f t="shared" si="1"/>
        <v>17.296535391920703</v>
      </c>
      <c r="F62" s="242"/>
    </row>
    <row r="63" spans="1:6" ht="43.5" customHeight="1">
      <c r="A63" s="185" t="s">
        <v>426</v>
      </c>
      <c r="B63" s="113">
        <f>B64</f>
        <v>9295000</v>
      </c>
      <c r="C63" s="113">
        <f>C64</f>
        <v>184619</v>
      </c>
      <c r="D63" s="155">
        <f t="shared" si="5"/>
        <v>-9110381</v>
      </c>
      <c r="E63" s="79">
        <f t="shared" si="1"/>
        <v>98.01378160301238</v>
      </c>
      <c r="F63" s="242" t="s">
        <v>347</v>
      </c>
    </row>
    <row r="64" spans="1:6" s="36" customFormat="1" ht="45" customHeight="1">
      <c r="A64" s="185" t="s">
        <v>412</v>
      </c>
      <c r="B64" s="113">
        <f>B65</f>
        <v>9295000</v>
      </c>
      <c r="C64" s="155">
        <f>C65</f>
        <v>184619</v>
      </c>
      <c r="D64" s="155">
        <f t="shared" si="5"/>
        <v>-9110381</v>
      </c>
      <c r="E64" s="79">
        <f t="shared" si="1"/>
        <v>98.01378160301238</v>
      </c>
      <c r="F64" s="242"/>
    </row>
    <row r="65" spans="1:6" ht="27" customHeight="1">
      <c r="A65" s="61" t="s">
        <v>442</v>
      </c>
      <c r="B65" s="112">
        <v>9295000</v>
      </c>
      <c r="C65" s="141">
        <v>184619</v>
      </c>
      <c r="D65" s="141">
        <f t="shared" si="5"/>
        <v>-9110381</v>
      </c>
      <c r="E65" s="19">
        <f t="shared" si="1"/>
        <v>98.01378160301238</v>
      </c>
      <c r="F65" s="242"/>
    </row>
    <row r="66" spans="1:6" ht="51" customHeight="1">
      <c r="A66" s="185" t="s">
        <v>427</v>
      </c>
      <c r="B66" s="113">
        <f>B67</f>
        <v>108568000</v>
      </c>
      <c r="C66" s="113">
        <f>C67</f>
        <v>10527536</v>
      </c>
      <c r="D66" s="155">
        <f t="shared" si="5"/>
        <v>-98040464</v>
      </c>
      <c r="E66" s="79">
        <f t="shared" si="1"/>
        <v>90.3032790509174</v>
      </c>
      <c r="F66" s="242" t="s">
        <v>346</v>
      </c>
    </row>
    <row r="67" spans="1:6" s="36" customFormat="1" ht="45.75" customHeight="1">
      <c r="A67" s="185" t="s">
        <v>412</v>
      </c>
      <c r="B67" s="113">
        <f>B68</f>
        <v>108568000</v>
      </c>
      <c r="C67" s="155">
        <f>C68</f>
        <v>10527536</v>
      </c>
      <c r="D67" s="155">
        <f t="shared" si="5"/>
        <v>-98040464</v>
      </c>
      <c r="E67" s="79">
        <f t="shared" si="1"/>
        <v>90.3032790509174</v>
      </c>
      <c r="F67" s="242"/>
    </row>
    <row r="68" spans="1:6" ht="28.5" customHeight="1" thickBot="1">
      <c r="A68" s="129" t="s">
        <v>443</v>
      </c>
      <c r="B68" s="116">
        <v>108568000</v>
      </c>
      <c r="C68" s="154">
        <v>10527536</v>
      </c>
      <c r="D68" s="154">
        <f t="shared" si="5"/>
        <v>-98040464</v>
      </c>
      <c r="E68" s="130">
        <f t="shared" si="1"/>
        <v>90.3032790509174</v>
      </c>
      <c r="F68" s="243"/>
    </row>
    <row r="69" spans="1:9" s="36" customFormat="1" ht="26.25" customHeight="1">
      <c r="A69" s="80" t="s">
        <v>428</v>
      </c>
      <c r="B69" s="113">
        <f>B70+B72+B79+B81+B83</f>
        <v>2371000</v>
      </c>
      <c r="C69" s="113">
        <f>C70+C72+C79+C81+C83</f>
        <v>2081412</v>
      </c>
      <c r="D69" s="113">
        <f t="shared" si="4"/>
        <v>-289588</v>
      </c>
      <c r="E69" s="79">
        <f t="shared" si="1"/>
        <v>12.21374947279629</v>
      </c>
      <c r="F69" s="245" t="s">
        <v>348</v>
      </c>
      <c r="I69" s="120"/>
    </row>
    <row r="70" spans="1:6" s="36" customFormat="1" ht="21.75" customHeight="1">
      <c r="A70" s="80" t="s">
        <v>444</v>
      </c>
      <c r="B70" s="113">
        <f>B71</f>
        <v>105000</v>
      </c>
      <c r="C70" s="113">
        <f>C71</f>
        <v>85371</v>
      </c>
      <c r="D70" s="113">
        <f t="shared" si="4"/>
        <v>-19629</v>
      </c>
      <c r="E70" s="79">
        <f t="shared" si="1"/>
        <v>18.694285714285712</v>
      </c>
      <c r="F70" s="245"/>
    </row>
    <row r="71" spans="1:6" ht="21.75" customHeight="1">
      <c r="A71" s="61" t="s">
        <v>392</v>
      </c>
      <c r="B71" s="112">
        <v>105000</v>
      </c>
      <c r="C71" s="112">
        <v>85371</v>
      </c>
      <c r="D71" s="112">
        <f t="shared" si="4"/>
        <v>-19629</v>
      </c>
      <c r="E71" s="19">
        <f t="shared" si="1"/>
        <v>18.694285714285712</v>
      </c>
      <c r="F71" s="245"/>
    </row>
    <row r="72" spans="1:6" s="36" customFormat="1" ht="21.75" customHeight="1">
      <c r="A72" s="80" t="s">
        <v>434</v>
      </c>
      <c r="B72" s="113">
        <f>SUM(B73:B78)</f>
        <v>1386000</v>
      </c>
      <c r="C72" s="113">
        <f>SUM(C73:C78)</f>
        <v>1144151</v>
      </c>
      <c r="D72" s="113">
        <f t="shared" si="4"/>
        <v>-241849</v>
      </c>
      <c r="E72" s="79">
        <f t="shared" si="1"/>
        <v>17.449422799422802</v>
      </c>
      <c r="F72" s="245"/>
    </row>
    <row r="73" spans="1:6" ht="21.75" customHeight="1">
      <c r="A73" s="61" t="s">
        <v>429</v>
      </c>
      <c r="B73" s="112">
        <v>129000</v>
      </c>
      <c r="C73" s="112">
        <v>128723</v>
      </c>
      <c r="D73" s="112">
        <f aca="true" t="shared" si="6" ref="D73:D79">C73-B73</f>
        <v>-277</v>
      </c>
      <c r="E73" s="19">
        <f t="shared" si="1"/>
        <v>0.21472868217054264</v>
      </c>
      <c r="F73" s="58"/>
    </row>
    <row r="74" spans="1:6" ht="21.75" customHeight="1">
      <c r="A74" s="61" t="s">
        <v>397</v>
      </c>
      <c r="B74" s="112">
        <v>10000</v>
      </c>
      <c r="C74" s="112">
        <v>0</v>
      </c>
      <c r="D74" s="112">
        <f>C74-B74</f>
        <v>-10000</v>
      </c>
      <c r="E74" s="19">
        <f aca="true" t="shared" si="7" ref="E74:E84">ABS(D74/B74*100)</f>
        <v>100</v>
      </c>
      <c r="F74" s="58"/>
    </row>
    <row r="75" spans="1:6" ht="21.75" customHeight="1">
      <c r="A75" s="61" t="s">
        <v>430</v>
      </c>
      <c r="B75" s="112">
        <v>250000</v>
      </c>
      <c r="C75" s="112">
        <v>197901</v>
      </c>
      <c r="D75" s="112">
        <f t="shared" si="6"/>
        <v>-52099</v>
      </c>
      <c r="E75" s="19">
        <f t="shared" si="7"/>
        <v>20.8396</v>
      </c>
      <c r="F75" s="58"/>
    </row>
    <row r="76" spans="1:6" ht="21.75" customHeight="1">
      <c r="A76" s="61" t="s">
        <v>431</v>
      </c>
      <c r="B76" s="112">
        <v>124000</v>
      </c>
      <c r="C76" s="112">
        <v>29385</v>
      </c>
      <c r="D76" s="112">
        <f t="shared" si="6"/>
        <v>-94615</v>
      </c>
      <c r="E76" s="19">
        <f t="shared" si="7"/>
        <v>76.30241935483872</v>
      </c>
      <c r="F76" s="58"/>
    </row>
    <row r="77" spans="1:6" ht="21.75" customHeight="1">
      <c r="A77" s="61" t="s">
        <v>402</v>
      </c>
      <c r="B77" s="112">
        <v>853000</v>
      </c>
      <c r="C77" s="112">
        <v>781342</v>
      </c>
      <c r="D77" s="112">
        <f t="shared" si="6"/>
        <v>-71658</v>
      </c>
      <c r="E77" s="19">
        <f t="shared" si="7"/>
        <v>8.400703399765533</v>
      </c>
      <c r="F77" s="58"/>
    </row>
    <row r="78" spans="1:6" ht="21.75" customHeight="1">
      <c r="A78" s="61" t="s">
        <v>403</v>
      </c>
      <c r="B78" s="112">
        <v>20000</v>
      </c>
      <c r="C78" s="112">
        <v>6800</v>
      </c>
      <c r="D78" s="112">
        <f t="shared" si="6"/>
        <v>-13200</v>
      </c>
      <c r="E78" s="19">
        <f t="shared" si="7"/>
        <v>66</v>
      </c>
      <c r="F78" s="143"/>
    </row>
    <row r="79" spans="1:6" s="36" customFormat="1" ht="21.75" customHeight="1">
      <c r="A79" s="80" t="s">
        <v>445</v>
      </c>
      <c r="B79" s="113">
        <f>B80</f>
        <v>72000</v>
      </c>
      <c r="C79" s="113">
        <f>C80</f>
        <v>56987</v>
      </c>
      <c r="D79" s="113">
        <f t="shared" si="6"/>
        <v>-15013</v>
      </c>
      <c r="E79" s="79">
        <f t="shared" si="7"/>
        <v>20.851388888888888</v>
      </c>
      <c r="F79" s="84"/>
    </row>
    <row r="80" spans="1:6" ht="21.75" customHeight="1">
      <c r="A80" s="61" t="s">
        <v>432</v>
      </c>
      <c r="B80" s="112">
        <v>72000</v>
      </c>
      <c r="C80" s="112">
        <v>56987</v>
      </c>
      <c r="D80" s="112">
        <f>C80-B80</f>
        <v>-15013</v>
      </c>
      <c r="E80" s="19">
        <f t="shared" si="7"/>
        <v>20.851388888888888</v>
      </c>
      <c r="F80" s="58"/>
    </row>
    <row r="81" spans="1:6" s="36" customFormat="1" ht="47.25" customHeight="1">
      <c r="A81" s="185" t="s">
        <v>412</v>
      </c>
      <c r="B81" s="113">
        <f>B82</f>
        <v>308000</v>
      </c>
      <c r="C81" s="113">
        <f>C82</f>
        <v>295710</v>
      </c>
      <c r="D81" s="113">
        <f>C81-B81</f>
        <v>-12290</v>
      </c>
      <c r="E81" s="79">
        <f t="shared" si="7"/>
        <v>3.9902597402597406</v>
      </c>
      <c r="F81" s="84"/>
    </row>
    <row r="82" spans="1:6" ht="24" customHeight="1">
      <c r="A82" s="61" t="s">
        <v>413</v>
      </c>
      <c r="B82" s="112">
        <v>308000</v>
      </c>
      <c r="C82" s="112">
        <v>295710</v>
      </c>
      <c r="D82" s="112">
        <f>C82-B82</f>
        <v>-12290</v>
      </c>
      <c r="E82" s="19">
        <f t="shared" si="7"/>
        <v>3.9902597402597406</v>
      </c>
      <c r="F82" s="58"/>
    </row>
    <row r="83" spans="1:6" s="36" customFormat="1" ht="22.5" customHeight="1">
      <c r="A83" s="80" t="s">
        <v>439</v>
      </c>
      <c r="B83" s="113">
        <f>B84</f>
        <v>500000</v>
      </c>
      <c r="C83" s="113">
        <f>C84</f>
        <v>499193</v>
      </c>
      <c r="D83" s="113">
        <f>C83-B83</f>
        <v>-807</v>
      </c>
      <c r="E83" s="79">
        <f t="shared" si="7"/>
        <v>0.1614</v>
      </c>
      <c r="F83" s="84"/>
    </row>
    <row r="84" spans="1:6" ht="22.5" customHeight="1">
      <c r="A84" s="61" t="s">
        <v>419</v>
      </c>
      <c r="B84" s="112">
        <v>500000</v>
      </c>
      <c r="C84" s="112">
        <v>499193</v>
      </c>
      <c r="D84" s="112">
        <f>C84-B84</f>
        <v>-807</v>
      </c>
      <c r="E84" s="19">
        <f t="shared" si="7"/>
        <v>0.1614</v>
      </c>
      <c r="F84" s="58"/>
    </row>
    <row r="85" spans="1:6" ht="20.25" customHeight="1">
      <c r="A85" s="61"/>
      <c r="B85" s="112"/>
      <c r="C85" s="112"/>
      <c r="D85" s="112"/>
      <c r="E85" s="19"/>
      <c r="F85" s="58"/>
    </row>
    <row r="86" spans="1:6" ht="20.25" customHeight="1">
      <c r="A86" s="61"/>
      <c r="B86" s="112"/>
      <c r="C86" s="112"/>
      <c r="D86" s="112"/>
      <c r="E86" s="19"/>
      <c r="F86" s="58"/>
    </row>
    <row r="87" spans="1:6" ht="20.25" customHeight="1">
      <c r="A87" s="61"/>
      <c r="B87" s="112"/>
      <c r="C87" s="112"/>
      <c r="D87" s="112"/>
      <c r="E87" s="19"/>
      <c r="F87" s="58"/>
    </row>
    <row r="88" spans="1:6" ht="20.25" customHeight="1">
      <c r="A88" s="61"/>
      <c r="B88" s="112"/>
      <c r="C88" s="112"/>
      <c r="D88" s="112"/>
      <c r="E88" s="19"/>
      <c r="F88" s="58"/>
    </row>
    <row r="89" spans="1:6" ht="20.25" customHeight="1">
      <c r="A89" s="61"/>
      <c r="B89" s="112"/>
      <c r="C89" s="112"/>
      <c r="D89" s="112"/>
      <c r="E89" s="19"/>
      <c r="F89" s="58"/>
    </row>
    <row r="90" spans="1:6" ht="20.25" customHeight="1">
      <c r="A90" s="61"/>
      <c r="B90" s="112"/>
      <c r="C90" s="112"/>
      <c r="D90" s="112"/>
      <c r="E90" s="19"/>
      <c r="F90" s="58"/>
    </row>
    <row r="91" spans="1:6" ht="20.25" customHeight="1">
      <c r="A91" s="61"/>
      <c r="B91" s="112"/>
      <c r="C91" s="112"/>
      <c r="D91" s="112"/>
      <c r="E91" s="19"/>
      <c r="F91" s="58"/>
    </row>
    <row r="92" spans="1:6" ht="20.25" customHeight="1">
      <c r="A92" s="61"/>
      <c r="B92" s="112"/>
      <c r="C92" s="112"/>
      <c r="D92" s="112"/>
      <c r="E92" s="19"/>
      <c r="F92" s="58"/>
    </row>
    <row r="93" spans="1:6" ht="20.25" customHeight="1">
      <c r="A93" s="61"/>
      <c r="B93" s="112"/>
      <c r="C93" s="112"/>
      <c r="D93" s="112"/>
      <c r="E93" s="19"/>
      <c r="F93" s="58"/>
    </row>
    <row r="94" spans="1:6" ht="20.25" customHeight="1">
      <c r="A94" s="61"/>
      <c r="B94" s="112"/>
      <c r="C94" s="112"/>
      <c r="D94" s="112"/>
      <c r="E94" s="19"/>
      <c r="F94" s="58"/>
    </row>
    <row r="95" spans="1:6" ht="20.25" customHeight="1">
      <c r="A95" s="61"/>
      <c r="B95" s="112"/>
      <c r="C95" s="112"/>
      <c r="D95" s="112"/>
      <c r="E95" s="19"/>
      <c r="F95" s="58"/>
    </row>
    <row r="96" spans="1:6" ht="20.25" customHeight="1">
      <c r="A96" s="61"/>
      <c r="B96" s="112"/>
      <c r="C96" s="112"/>
      <c r="D96" s="112"/>
      <c r="E96" s="19"/>
      <c r="F96" s="58"/>
    </row>
    <row r="97" spans="1:6" ht="20.25" customHeight="1">
      <c r="A97" s="61"/>
      <c r="B97" s="112"/>
      <c r="C97" s="112"/>
      <c r="D97" s="112"/>
      <c r="E97" s="19"/>
      <c r="F97" s="58"/>
    </row>
    <row r="98" spans="1:6" ht="20.25" customHeight="1">
      <c r="A98" s="61"/>
      <c r="B98" s="112"/>
      <c r="C98" s="112"/>
      <c r="D98" s="112"/>
      <c r="E98" s="19"/>
      <c r="F98" s="58"/>
    </row>
    <row r="99" spans="1:6" ht="20.25" customHeight="1">
      <c r="A99" s="61"/>
      <c r="B99" s="112"/>
      <c r="C99" s="112"/>
      <c r="D99" s="112"/>
      <c r="E99" s="19"/>
      <c r="F99" s="58"/>
    </row>
    <row r="100" spans="1:6" ht="20.25" customHeight="1">
      <c r="A100" s="61"/>
      <c r="B100" s="112"/>
      <c r="C100" s="112"/>
      <c r="D100" s="112"/>
      <c r="E100" s="19"/>
      <c r="F100" s="58"/>
    </row>
    <row r="101" spans="1:6" ht="20.25" customHeight="1">
      <c r="A101" s="61"/>
      <c r="B101" s="112"/>
      <c r="C101" s="112"/>
      <c r="D101" s="112"/>
      <c r="E101" s="19"/>
      <c r="F101" s="58"/>
    </row>
    <row r="102" spans="1:6" ht="20.25" customHeight="1">
      <c r="A102" s="61"/>
      <c r="B102" s="112"/>
      <c r="C102" s="112"/>
      <c r="D102" s="112"/>
      <c r="E102" s="19"/>
      <c r="F102" s="58"/>
    </row>
    <row r="103" spans="1:6" s="77" customFormat="1" ht="30" customHeight="1" thickBot="1">
      <c r="A103" s="81"/>
      <c r="B103" s="156"/>
      <c r="C103" s="156"/>
      <c r="D103" s="156"/>
      <c r="E103" s="82"/>
      <c r="F103" s="117"/>
    </row>
  </sheetData>
  <mergeCells count="14">
    <mergeCell ref="F69:F72"/>
    <mergeCell ref="A5:A6"/>
    <mergeCell ref="C5:C6"/>
    <mergeCell ref="A1:F1"/>
    <mergeCell ref="A2:F2"/>
    <mergeCell ref="A3:F3"/>
    <mergeCell ref="A4:F4"/>
    <mergeCell ref="D5:E5"/>
    <mergeCell ref="B5:B6"/>
    <mergeCell ref="F5:F6"/>
    <mergeCell ref="F60:F62"/>
    <mergeCell ref="F63:F65"/>
    <mergeCell ref="F66:F68"/>
    <mergeCell ref="F7:F9"/>
  </mergeCells>
  <printOptions horizontalCentered="1"/>
  <pageMargins left="0.15748031496062992" right="0.15748031496062992" top="0.5905511811023623" bottom="0.7874015748031497" header="0.5118110236220472" footer="0.5118110236220472"/>
  <pageSetup firstPageNumber="14" useFirstPageNumber="1" horizontalDpi="600" verticalDpi="600" orientation="portrait" paperSize="9" scale="81" r:id="rId1"/>
  <headerFooter alignWithMargins="0">
    <oddFooter>&amp;C&amp;14-&amp;P--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4"/>
  </sheetPr>
  <dimension ref="A1:E21"/>
  <sheetViews>
    <sheetView zoomScale="75" zoomScaleNormal="75" workbookViewId="0" topLeftCell="A4">
      <pane xSplit="2" ySplit="2" topLeftCell="C6" activePane="bottomRight" state="frozen"/>
      <selection pane="topLeft" activeCell="A4" sqref="A4"/>
      <selection pane="topRight" activeCell="C4" sqref="C4"/>
      <selection pane="bottomLeft" activeCell="A6" sqref="A6"/>
      <selection pane="bottomRight" activeCell="D7" sqref="D7"/>
    </sheetView>
  </sheetViews>
  <sheetFormatPr defaultColWidth="9.00390625" defaultRowHeight="39.75" customHeight="1"/>
  <cols>
    <col min="1" max="1" width="20.875" style="7" customWidth="1"/>
    <col min="2" max="2" width="21.125" style="7" customWidth="1"/>
    <col min="3" max="4" width="19.375" style="7" customWidth="1"/>
    <col min="5" max="5" width="21.25390625" style="7" customWidth="1"/>
    <col min="6" max="6" width="26.625" style="7" customWidth="1"/>
    <col min="7" max="16384" width="9.00390625" style="7" customWidth="1"/>
  </cols>
  <sheetData>
    <row r="1" spans="1:5" s="9" customFormat="1" ht="25.5">
      <c r="A1" s="233" t="s">
        <v>107</v>
      </c>
      <c r="B1" s="233"/>
      <c r="C1" s="233"/>
      <c r="D1" s="233"/>
      <c r="E1" s="233"/>
    </row>
    <row r="2" spans="1:5" s="4" customFormat="1" ht="27.75">
      <c r="A2" s="221" t="s">
        <v>161</v>
      </c>
      <c r="B2" s="221"/>
      <c r="C2" s="221"/>
      <c r="D2" s="221"/>
      <c r="E2" s="221"/>
    </row>
    <row r="3" spans="1:5" ht="19.5">
      <c r="A3" s="223" t="s">
        <v>333</v>
      </c>
      <c r="B3" s="223"/>
      <c r="C3" s="223"/>
      <c r="D3" s="223"/>
      <c r="E3" s="223"/>
    </row>
    <row r="4" spans="1:5" ht="20.25" thickBot="1">
      <c r="A4" s="210" t="s">
        <v>109</v>
      </c>
      <c r="B4" s="210"/>
      <c r="C4" s="210"/>
      <c r="D4" s="210"/>
      <c r="E4" s="210"/>
    </row>
    <row r="5" spans="1:5" s="11" customFormat="1" ht="48.75" customHeight="1">
      <c r="A5" s="53" t="s">
        <v>162</v>
      </c>
      <c r="B5" s="52" t="s">
        <v>163</v>
      </c>
      <c r="C5" s="52" t="s">
        <v>164</v>
      </c>
      <c r="D5" s="51" t="s">
        <v>165</v>
      </c>
      <c r="E5" s="54" t="s">
        <v>166</v>
      </c>
    </row>
    <row r="6" spans="1:5" s="36" customFormat="1" ht="44.25" customHeight="1">
      <c r="A6" s="38" t="s">
        <v>167</v>
      </c>
      <c r="B6" s="157">
        <v>4007351442</v>
      </c>
      <c r="C6" s="157">
        <f>SUM(C7:C18)</f>
        <v>176768535</v>
      </c>
      <c r="D6" s="157">
        <f>SUM(D7:D18)</f>
        <v>109119842</v>
      </c>
      <c r="E6" s="158">
        <f>SUM(E7:E18)</f>
        <v>4075000135</v>
      </c>
    </row>
    <row r="7" spans="1:5" ht="45" customHeight="1">
      <c r="A7" s="56" t="s">
        <v>321</v>
      </c>
      <c r="B7" s="106">
        <v>0</v>
      </c>
      <c r="C7" s="159">
        <v>0</v>
      </c>
      <c r="D7" s="159">
        <v>0</v>
      </c>
      <c r="E7" s="107">
        <f>B7+C7-D7</f>
        <v>0</v>
      </c>
    </row>
    <row r="8" spans="1:5" ht="45" customHeight="1">
      <c r="A8" s="48" t="s">
        <v>276</v>
      </c>
      <c r="B8" s="106">
        <v>665547670</v>
      </c>
      <c r="C8" s="106">
        <v>0</v>
      </c>
      <c r="D8" s="106">
        <v>0</v>
      </c>
      <c r="E8" s="107">
        <f aca="true" t="shared" si="0" ref="E8:E20">B8+C8-D8</f>
        <v>665547670</v>
      </c>
    </row>
    <row r="9" spans="1:5" ht="45" customHeight="1">
      <c r="A9" s="48" t="s">
        <v>277</v>
      </c>
      <c r="B9" s="106">
        <v>101350092</v>
      </c>
      <c r="C9" s="106">
        <v>3302196</v>
      </c>
      <c r="D9" s="106">
        <v>1132537</v>
      </c>
      <c r="E9" s="107">
        <f t="shared" si="0"/>
        <v>103519751</v>
      </c>
    </row>
    <row r="10" spans="1:5" ht="45" customHeight="1">
      <c r="A10" s="132" t="s">
        <v>278</v>
      </c>
      <c r="B10" s="106">
        <v>2487760613</v>
      </c>
      <c r="C10" s="159">
        <v>97771767</v>
      </c>
      <c r="D10" s="159">
        <v>56139279</v>
      </c>
      <c r="E10" s="107">
        <f t="shared" si="0"/>
        <v>2529393101</v>
      </c>
    </row>
    <row r="11" spans="1:5" ht="45" customHeight="1">
      <c r="A11" s="48" t="s">
        <v>279</v>
      </c>
      <c r="B11" s="106">
        <v>258861715</v>
      </c>
      <c r="C11" s="159">
        <v>19092659</v>
      </c>
      <c r="D11" s="159">
        <v>31553171</v>
      </c>
      <c r="E11" s="107">
        <f t="shared" si="0"/>
        <v>246401203</v>
      </c>
    </row>
    <row r="12" spans="1:5" ht="45" customHeight="1">
      <c r="A12" s="48" t="s">
        <v>280</v>
      </c>
      <c r="B12" s="106">
        <v>136436793</v>
      </c>
      <c r="C12" s="159">
        <v>7833836</v>
      </c>
      <c r="D12" s="159">
        <v>5446322</v>
      </c>
      <c r="E12" s="107">
        <f t="shared" si="0"/>
        <v>138824307</v>
      </c>
    </row>
    <row r="13" spans="1:5" ht="45" customHeight="1">
      <c r="A13" s="48" t="s">
        <v>281</v>
      </c>
      <c r="B13" s="106">
        <v>345758415</v>
      </c>
      <c r="C13" s="159">
        <v>31923604</v>
      </c>
      <c r="D13" s="159">
        <v>9920795</v>
      </c>
      <c r="E13" s="107">
        <f t="shared" si="0"/>
        <v>367761224</v>
      </c>
    </row>
    <row r="14" spans="1:5" ht="45" customHeight="1">
      <c r="A14" s="48" t="s">
        <v>282</v>
      </c>
      <c r="B14" s="106">
        <v>5510228</v>
      </c>
      <c r="C14" s="139">
        <v>16096713</v>
      </c>
      <c r="D14" s="106">
        <v>4927738</v>
      </c>
      <c r="E14" s="107">
        <f t="shared" si="0"/>
        <v>16679203</v>
      </c>
    </row>
    <row r="15" spans="1:5" ht="45" customHeight="1">
      <c r="A15" s="48" t="s">
        <v>283</v>
      </c>
      <c r="B15" s="106">
        <v>6125916</v>
      </c>
      <c r="C15" s="139">
        <v>747760</v>
      </c>
      <c r="D15" s="139">
        <v>0</v>
      </c>
      <c r="E15" s="107">
        <f t="shared" si="0"/>
        <v>6873676</v>
      </c>
    </row>
    <row r="16" spans="1:5" ht="45" customHeight="1">
      <c r="A16" s="48" t="s">
        <v>284</v>
      </c>
      <c r="B16" s="106">
        <v>0</v>
      </c>
      <c r="C16" s="106">
        <v>0</v>
      </c>
      <c r="D16" s="106">
        <v>0</v>
      </c>
      <c r="E16" s="107">
        <f t="shared" si="0"/>
        <v>0</v>
      </c>
    </row>
    <row r="17" spans="1:5" ht="45" customHeight="1">
      <c r="A17" s="48" t="s">
        <v>285</v>
      </c>
      <c r="B17" s="106">
        <v>0</v>
      </c>
      <c r="C17" s="106">
        <v>0</v>
      </c>
      <c r="D17" s="106">
        <v>0</v>
      </c>
      <c r="E17" s="107">
        <f t="shared" si="0"/>
        <v>0</v>
      </c>
    </row>
    <row r="18" spans="1:5" ht="45" customHeight="1">
      <c r="A18" s="48" t="s">
        <v>286</v>
      </c>
      <c r="B18" s="106">
        <v>0</v>
      </c>
      <c r="C18" s="106">
        <v>0</v>
      </c>
      <c r="D18" s="106">
        <v>0</v>
      </c>
      <c r="E18" s="107">
        <f t="shared" si="0"/>
        <v>0</v>
      </c>
    </row>
    <row r="19" spans="1:5" s="36" customFormat="1" ht="45" customHeight="1">
      <c r="A19" s="42" t="s">
        <v>287</v>
      </c>
      <c r="B19" s="124">
        <v>0</v>
      </c>
      <c r="C19" s="124">
        <f>C20</f>
        <v>0</v>
      </c>
      <c r="D19" s="124">
        <f>D20</f>
        <v>0</v>
      </c>
      <c r="E19" s="107">
        <f t="shared" si="0"/>
        <v>0</v>
      </c>
    </row>
    <row r="20" spans="1:5" ht="45" customHeight="1" thickBot="1">
      <c r="A20" s="64" t="s">
        <v>288</v>
      </c>
      <c r="B20" s="160">
        <v>0</v>
      </c>
      <c r="C20" s="160">
        <v>0</v>
      </c>
      <c r="D20" s="160">
        <v>0</v>
      </c>
      <c r="E20" s="161">
        <f t="shared" si="0"/>
        <v>0</v>
      </c>
    </row>
    <row r="21" spans="2:4" ht="39.75" customHeight="1">
      <c r="B21" s="13"/>
      <c r="C21" s="13"/>
      <c r="D21" s="13"/>
    </row>
  </sheetData>
  <mergeCells count="4">
    <mergeCell ref="A1:E1"/>
    <mergeCell ref="A2:E2"/>
    <mergeCell ref="A3:E3"/>
    <mergeCell ref="A4:E4"/>
  </mergeCells>
  <printOptions horizontalCentered="1"/>
  <pageMargins left="0.15748031496062992" right="0.15748031496062992" top="0.5905511811023623" bottom="0.7874015748031497" header="0.5118110236220472" footer="0.5118110236220472"/>
  <pageSetup firstPageNumber="17" useFirstPageNumber="1" horizontalDpi="600" verticalDpi="600" orientation="portrait" paperSize="9" scale="95" r:id="rId1"/>
  <headerFooter alignWithMargins="0">
    <oddFooter>&amp;C&amp;14-&amp;P--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4"/>
  </sheetPr>
  <dimension ref="A1:J26"/>
  <sheetViews>
    <sheetView zoomScale="75" zoomScaleNormal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2" sqref="F12"/>
    </sheetView>
  </sheetViews>
  <sheetFormatPr defaultColWidth="9.00390625" defaultRowHeight="147" customHeight="1"/>
  <cols>
    <col min="1" max="1" width="21.00390625" style="7" customWidth="1"/>
    <col min="2" max="2" width="15.25390625" style="7" customWidth="1"/>
    <col min="3" max="3" width="17.625" style="7" customWidth="1"/>
    <col min="4" max="4" width="16.75390625" style="7" customWidth="1"/>
    <col min="5" max="5" width="9.125" style="7" customWidth="1"/>
    <col min="6" max="6" width="18.00390625" style="7" customWidth="1"/>
    <col min="7" max="7" width="17.375" style="7" customWidth="1"/>
    <col min="8" max="8" width="18.75390625" style="7" customWidth="1"/>
    <col min="9" max="9" width="17.875" style="7" customWidth="1"/>
    <col min="10" max="10" width="25.00390625" style="7" customWidth="1"/>
    <col min="11" max="16384" width="9.00390625" style="7" customWidth="1"/>
  </cols>
  <sheetData>
    <row r="1" spans="1:10" s="9" customFormat="1" ht="27.75" customHeight="1">
      <c r="A1" s="250" t="s">
        <v>107</v>
      </c>
      <c r="B1" s="251"/>
      <c r="C1" s="251"/>
      <c r="D1" s="251"/>
      <c r="E1" s="251"/>
      <c r="F1" s="251"/>
      <c r="G1" s="251"/>
      <c r="H1" s="251"/>
      <c r="I1" s="251"/>
      <c r="J1" s="110"/>
    </row>
    <row r="2" spans="1:10" s="4" customFormat="1" ht="31.5" customHeight="1">
      <c r="A2" s="248" t="s">
        <v>168</v>
      </c>
      <c r="B2" s="248"/>
      <c r="C2" s="248"/>
      <c r="D2" s="248"/>
      <c r="E2" s="248"/>
      <c r="F2" s="248"/>
      <c r="G2" s="248"/>
      <c r="H2" s="248"/>
      <c r="I2" s="248"/>
      <c r="J2" s="109"/>
    </row>
    <row r="3" spans="1:10" ht="19.5">
      <c r="A3" s="249" t="s">
        <v>333</v>
      </c>
      <c r="B3" s="249"/>
      <c r="C3" s="249"/>
      <c r="D3" s="249"/>
      <c r="E3" s="249"/>
      <c r="F3" s="249"/>
      <c r="G3" s="249"/>
      <c r="H3" s="249"/>
      <c r="I3" s="249"/>
      <c r="J3" s="6"/>
    </row>
    <row r="4" spans="1:9" ht="26.25" customHeight="1" thickBot="1">
      <c r="A4" s="247" t="s">
        <v>109</v>
      </c>
      <c r="B4" s="247"/>
      <c r="C4" s="247"/>
      <c r="D4" s="247"/>
      <c r="E4" s="247"/>
      <c r="F4" s="247"/>
      <c r="G4" s="247"/>
      <c r="H4" s="247"/>
      <c r="I4" s="247"/>
    </row>
    <row r="5" spans="1:9" s="11" customFormat="1" ht="45.75" customHeight="1">
      <c r="A5" s="199" t="s">
        <v>110</v>
      </c>
      <c r="B5" s="201" t="s">
        <v>169</v>
      </c>
      <c r="C5" s="201"/>
      <c r="D5" s="201"/>
      <c r="E5" s="255"/>
      <c r="F5" s="255"/>
      <c r="G5" s="201" t="s">
        <v>149</v>
      </c>
      <c r="H5" s="203" t="s">
        <v>170</v>
      </c>
      <c r="I5" s="253" t="s">
        <v>329</v>
      </c>
    </row>
    <row r="6" spans="1:9" s="11" customFormat="1" ht="54" customHeight="1">
      <c r="A6" s="239"/>
      <c r="B6" s="32" t="s">
        <v>171</v>
      </c>
      <c r="C6" s="32" t="s">
        <v>172</v>
      </c>
      <c r="D6" s="32" t="s">
        <v>173</v>
      </c>
      <c r="E6" s="32" t="s">
        <v>174</v>
      </c>
      <c r="F6" s="33" t="s">
        <v>175</v>
      </c>
      <c r="G6" s="240"/>
      <c r="H6" s="241"/>
      <c r="I6" s="254"/>
    </row>
    <row r="7" spans="1:9" s="36" customFormat="1" ht="51" customHeight="1">
      <c r="A7" s="74" t="s">
        <v>289</v>
      </c>
      <c r="B7" s="165">
        <v>0</v>
      </c>
      <c r="C7" s="165">
        <v>0</v>
      </c>
      <c r="D7" s="165">
        <v>0</v>
      </c>
      <c r="E7" s="165">
        <f>SUM(E8:E9)</f>
        <v>0</v>
      </c>
      <c r="F7" s="165">
        <f aca="true" t="shared" si="0" ref="F7:F24">SUM(B7:E7)</f>
        <v>0</v>
      </c>
      <c r="G7" s="165">
        <f>SUM(G8:G9)</f>
        <v>0</v>
      </c>
      <c r="H7" s="165">
        <f aca="true" t="shared" si="1" ref="H7:H25">G7-F7</f>
        <v>0</v>
      </c>
      <c r="I7" s="166">
        <f>SUM(I8:I9)</f>
        <v>0</v>
      </c>
    </row>
    <row r="8" spans="1:9" ht="51" customHeight="1">
      <c r="A8" s="65" t="s">
        <v>276</v>
      </c>
      <c r="B8" s="167">
        <v>0</v>
      </c>
      <c r="C8" s="167">
        <v>0</v>
      </c>
      <c r="D8" s="167">
        <v>0</v>
      </c>
      <c r="E8" s="167">
        <v>0</v>
      </c>
      <c r="F8" s="168">
        <f t="shared" si="0"/>
        <v>0</v>
      </c>
      <c r="G8" s="167">
        <v>0</v>
      </c>
      <c r="H8" s="167">
        <f t="shared" si="1"/>
        <v>0</v>
      </c>
      <c r="I8" s="169">
        <v>0</v>
      </c>
    </row>
    <row r="9" spans="1:9" ht="51" customHeight="1">
      <c r="A9" s="65" t="s">
        <v>282</v>
      </c>
      <c r="B9" s="167">
        <v>0</v>
      </c>
      <c r="C9" s="167">
        <v>0</v>
      </c>
      <c r="D9" s="167">
        <v>0</v>
      </c>
      <c r="E9" s="167">
        <v>0</v>
      </c>
      <c r="F9" s="168">
        <f t="shared" si="0"/>
        <v>0</v>
      </c>
      <c r="G9" s="167">
        <v>0</v>
      </c>
      <c r="H9" s="167">
        <f t="shared" si="1"/>
        <v>0</v>
      </c>
      <c r="I9" s="169">
        <v>0</v>
      </c>
    </row>
    <row r="10" spans="1:9" s="36" customFormat="1" ht="51" customHeight="1">
      <c r="A10" s="85" t="s">
        <v>290</v>
      </c>
      <c r="B10" s="168">
        <v>0</v>
      </c>
      <c r="C10" s="168">
        <v>0</v>
      </c>
      <c r="D10" s="168">
        <v>0</v>
      </c>
      <c r="E10" s="168">
        <f>SUM(E11:E12)</f>
        <v>0</v>
      </c>
      <c r="F10" s="168">
        <f t="shared" si="0"/>
        <v>0</v>
      </c>
      <c r="G10" s="168">
        <f>SUM(G11:G12)</f>
        <v>0</v>
      </c>
      <c r="H10" s="168">
        <f t="shared" si="1"/>
        <v>0</v>
      </c>
      <c r="I10" s="170">
        <f>SUM(I11:I12)</f>
        <v>0</v>
      </c>
    </row>
    <row r="11" spans="1:9" ht="51" customHeight="1">
      <c r="A11" s="65" t="s">
        <v>277</v>
      </c>
      <c r="B11" s="167">
        <v>0</v>
      </c>
      <c r="C11" s="167">
        <v>0</v>
      </c>
      <c r="D11" s="167">
        <v>0</v>
      </c>
      <c r="E11" s="167"/>
      <c r="F11" s="167">
        <f t="shared" si="0"/>
        <v>0</v>
      </c>
      <c r="G11" s="167">
        <v>0</v>
      </c>
      <c r="H11" s="167">
        <f t="shared" si="1"/>
        <v>0</v>
      </c>
      <c r="I11" s="169">
        <v>0</v>
      </c>
    </row>
    <row r="12" spans="1:9" ht="51" customHeight="1">
      <c r="A12" s="133" t="s">
        <v>282</v>
      </c>
      <c r="B12" s="167">
        <v>0</v>
      </c>
      <c r="C12" s="167">
        <v>0</v>
      </c>
      <c r="D12" s="167">
        <v>0</v>
      </c>
      <c r="E12" s="167">
        <v>0</v>
      </c>
      <c r="F12" s="168">
        <f t="shared" si="0"/>
        <v>0</v>
      </c>
      <c r="G12" s="167">
        <v>0</v>
      </c>
      <c r="H12" s="167">
        <f t="shared" si="1"/>
        <v>0</v>
      </c>
      <c r="I12" s="169">
        <v>0</v>
      </c>
    </row>
    <row r="13" spans="1:9" s="36" customFormat="1" ht="51" customHeight="1">
      <c r="A13" s="134" t="s">
        <v>291</v>
      </c>
      <c r="B13" s="168">
        <v>3240000</v>
      </c>
      <c r="C13" s="168">
        <v>133499000</v>
      </c>
      <c r="D13" s="168">
        <v>0</v>
      </c>
      <c r="E13" s="168">
        <f>SUM(E14:E15)</f>
        <v>0</v>
      </c>
      <c r="F13" s="168">
        <f t="shared" si="0"/>
        <v>136739000</v>
      </c>
      <c r="G13" s="168">
        <f>SUM(G14:G15)</f>
        <v>27186972</v>
      </c>
      <c r="H13" s="168">
        <f t="shared" si="1"/>
        <v>-109552028</v>
      </c>
      <c r="I13" s="170">
        <f>SUM(I14:I15)</f>
        <v>102334000</v>
      </c>
    </row>
    <row r="14" spans="1:9" ht="51" customHeight="1">
      <c r="A14" s="135" t="s">
        <v>278</v>
      </c>
      <c r="B14" s="167">
        <v>3240000</v>
      </c>
      <c r="C14" s="167">
        <v>133499000</v>
      </c>
      <c r="D14" s="167">
        <v>0</v>
      </c>
      <c r="E14" s="167"/>
      <c r="F14" s="167">
        <f t="shared" si="0"/>
        <v>136739000</v>
      </c>
      <c r="G14" s="171">
        <v>11446808</v>
      </c>
      <c r="H14" s="167">
        <f t="shared" si="1"/>
        <v>-125292192</v>
      </c>
      <c r="I14" s="169">
        <v>102334000</v>
      </c>
    </row>
    <row r="15" spans="1:9" ht="51" customHeight="1">
      <c r="A15" s="57" t="s">
        <v>282</v>
      </c>
      <c r="B15" s="167">
        <v>0</v>
      </c>
      <c r="C15" s="167">
        <v>0</v>
      </c>
      <c r="D15" s="167">
        <v>0</v>
      </c>
      <c r="E15" s="167">
        <v>0</v>
      </c>
      <c r="F15" s="168">
        <f t="shared" si="0"/>
        <v>0</v>
      </c>
      <c r="G15" s="171">
        <v>15740164</v>
      </c>
      <c r="H15" s="167">
        <f t="shared" si="1"/>
        <v>15740164</v>
      </c>
      <c r="I15" s="169">
        <v>0</v>
      </c>
    </row>
    <row r="16" spans="1:9" s="36" customFormat="1" ht="51" customHeight="1">
      <c r="A16" s="78" t="s">
        <v>292</v>
      </c>
      <c r="B16" s="168">
        <v>0</v>
      </c>
      <c r="C16" s="168">
        <v>16630000</v>
      </c>
      <c r="D16" s="168">
        <v>0</v>
      </c>
      <c r="E16" s="168">
        <f>SUM(E17:E18)</f>
        <v>0</v>
      </c>
      <c r="F16" s="168">
        <f t="shared" si="0"/>
        <v>16630000</v>
      </c>
      <c r="G16" s="172">
        <f>SUM(G17:G18)</f>
        <v>14862178</v>
      </c>
      <c r="H16" s="168">
        <f t="shared" si="1"/>
        <v>-1767822</v>
      </c>
      <c r="I16" s="170">
        <f>SUM(I17:I18)</f>
        <v>0</v>
      </c>
    </row>
    <row r="17" spans="1:9" ht="51" customHeight="1">
      <c r="A17" s="57" t="s">
        <v>279</v>
      </c>
      <c r="B17" s="167">
        <v>0</v>
      </c>
      <c r="C17" s="167">
        <v>16630000</v>
      </c>
      <c r="D17" s="167">
        <v>0</v>
      </c>
      <c r="E17" s="167">
        <v>0</v>
      </c>
      <c r="F17" s="167">
        <f t="shared" si="0"/>
        <v>16630000</v>
      </c>
      <c r="G17" s="171">
        <v>14862178</v>
      </c>
      <c r="H17" s="167">
        <f t="shared" si="1"/>
        <v>-1767822</v>
      </c>
      <c r="I17" s="169">
        <v>0</v>
      </c>
    </row>
    <row r="18" spans="1:9" ht="51" customHeight="1">
      <c r="A18" s="57" t="s">
        <v>282</v>
      </c>
      <c r="B18" s="167">
        <v>0</v>
      </c>
      <c r="C18" s="167">
        <v>0</v>
      </c>
      <c r="D18" s="167">
        <v>0</v>
      </c>
      <c r="E18" s="167">
        <v>0</v>
      </c>
      <c r="F18" s="168">
        <f t="shared" si="0"/>
        <v>0</v>
      </c>
      <c r="G18" s="171"/>
      <c r="H18" s="167">
        <f t="shared" si="1"/>
        <v>0</v>
      </c>
      <c r="I18" s="169">
        <v>0</v>
      </c>
    </row>
    <row r="19" spans="1:9" s="36" customFormat="1" ht="51" customHeight="1">
      <c r="A19" s="78" t="s">
        <v>293</v>
      </c>
      <c r="B19" s="168">
        <v>0</v>
      </c>
      <c r="C19" s="168">
        <v>5221000</v>
      </c>
      <c r="D19" s="168">
        <v>0</v>
      </c>
      <c r="E19" s="168">
        <f>SUM(E20:E21)</f>
        <v>0</v>
      </c>
      <c r="F19" s="168">
        <f t="shared" si="0"/>
        <v>5221000</v>
      </c>
      <c r="G19" s="172">
        <f>SUM(G20:G21)</f>
        <v>5260816</v>
      </c>
      <c r="H19" s="168">
        <f t="shared" si="1"/>
        <v>39816</v>
      </c>
      <c r="I19" s="170">
        <f>SUM(I20:I21)</f>
        <v>0</v>
      </c>
    </row>
    <row r="20" spans="1:9" ht="51" customHeight="1">
      <c r="A20" s="57" t="s">
        <v>280</v>
      </c>
      <c r="B20" s="167">
        <v>0</v>
      </c>
      <c r="C20" s="167">
        <v>5221000</v>
      </c>
      <c r="D20" s="167">
        <v>0</v>
      </c>
      <c r="E20" s="167">
        <v>0</v>
      </c>
      <c r="F20" s="167">
        <f t="shared" si="0"/>
        <v>5221000</v>
      </c>
      <c r="G20" s="171">
        <v>5260816</v>
      </c>
      <c r="H20" s="167">
        <f t="shared" si="1"/>
        <v>39816</v>
      </c>
      <c r="I20" s="169">
        <v>0</v>
      </c>
    </row>
    <row r="21" spans="1:9" ht="51" customHeight="1">
      <c r="A21" s="57" t="s">
        <v>282</v>
      </c>
      <c r="B21" s="167">
        <v>0</v>
      </c>
      <c r="C21" s="167">
        <v>0</v>
      </c>
      <c r="D21" s="167">
        <v>0</v>
      </c>
      <c r="E21" s="167">
        <v>0</v>
      </c>
      <c r="F21" s="168">
        <f t="shared" si="0"/>
        <v>0</v>
      </c>
      <c r="G21" s="171"/>
      <c r="H21" s="167">
        <f t="shared" si="1"/>
        <v>0</v>
      </c>
      <c r="I21" s="169">
        <v>0</v>
      </c>
    </row>
    <row r="22" spans="1:9" s="36" customFormat="1" ht="51" customHeight="1">
      <c r="A22" s="78" t="s">
        <v>294</v>
      </c>
      <c r="B22" s="168">
        <v>0</v>
      </c>
      <c r="C22" s="168">
        <v>25904000</v>
      </c>
      <c r="D22" s="167">
        <v>0</v>
      </c>
      <c r="E22" s="168">
        <f>SUM(E23:E24)</f>
        <v>0</v>
      </c>
      <c r="F22" s="168">
        <f t="shared" si="0"/>
        <v>25904000</v>
      </c>
      <c r="G22" s="172">
        <f>SUM(G23:G24)</f>
        <v>10088283</v>
      </c>
      <c r="H22" s="168">
        <f t="shared" si="1"/>
        <v>-15815717</v>
      </c>
      <c r="I22" s="170">
        <f>SUM(I23:I24)</f>
        <v>14123000</v>
      </c>
    </row>
    <row r="23" spans="1:9" ht="51" customHeight="1">
      <c r="A23" s="57" t="s">
        <v>281</v>
      </c>
      <c r="B23" s="167">
        <v>0</v>
      </c>
      <c r="C23" s="167">
        <v>25904000</v>
      </c>
      <c r="D23" s="167">
        <v>0</v>
      </c>
      <c r="E23" s="167">
        <v>0</v>
      </c>
      <c r="F23" s="167">
        <f t="shared" si="0"/>
        <v>25904000</v>
      </c>
      <c r="G23" s="171">
        <v>9731734</v>
      </c>
      <c r="H23" s="167">
        <f t="shared" si="1"/>
        <v>-16172266</v>
      </c>
      <c r="I23" s="169">
        <v>14123000</v>
      </c>
    </row>
    <row r="24" spans="1:9" ht="51" customHeight="1">
      <c r="A24" s="57" t="s">
        <v>282</v>
      </c>
      <c r="B24" s="167">
        <v>0</v>
      </c>
      <c r="C24" s="167">
        <v>0</v>
      </c>
      <c r="D24" s="167">
        <v>0</v>
      </c>
      <c r="E24" s="167">
        <v>0</v>
      </c>
      <c r="F24" s="168">
        <f t="shared" si="0"/>
        <v>0</v>
      </c>
      <c r="G24" s="171">
        <v>356549</v>
      </c>
      <c r="H24" s="167">
        <f t="shared" si="1"/>
        <v>356549</v>
      </c>
      <c r="I24" s="169">
        <v>0</v>
      </c>
    </row>
    <row r="25" spans="1:9" s="77" customFormat="1" ht="45.75" customHeight="1" thickBot="1">
      <c r="A25" s="81" t="s">
        <v>295</v>
      </c>
      <c r="B25" s="173">
        <f aca="true" t="shared" si="2" ref="B25:G25">B7+B10+B13+B16+B19+B22</f>
        <v>3240000</v>
      </c>
      <c r="C25" s="173">
        <f t="shared" si="2"/>
        <v>181254000</v>
      </c>
      <c r="D25" s="173">
        <f t="shared" si="2"/>
        <v>0</v>
      </c>
      <c r="E25" s="173">
        <f t="shared" si="2"/>
        <v>0</v>
      </c>
      <c r="F25" s="173">
        <f t="shared" si="2"/>
        <v>184494000</v>
      </c>
      <c r="G25" s="173">
        <f t="shared" si="2"/>
        <v>57398249</v>
      </c>
      <c r="H25" s="173">
        <f t="shared" si="1"/>
        <v>-127095751</v>
      </c>
      <c r="I25" s="174">
        <f>I7+I10+I13+I16+I19+I22</f>
        <v>116457000</v>
      </c>
    </row>
    <row r="26" spans="1:9" s="77" customFormat="1" ht="49.5" customHeight="1">
      <c r="A26" s="252"/>
      <c r="B26" s="252"/>
      <c r="C26" s="252"/>
      <c r="D26" s="252"/>
      <c r="E26" s="252"/>
      <c r="F26" s="252"/>
      <c r="G26" s="252"/>
      <c r="H26" s="252"/>
      <c r="I26" s="252"/>
    </row>
    <row r="27" ht="37.5" customHeight="1"/>
  </sheetData>
  <mergeCells count="10">
    <mergeCell ref="A26:I26"/>
    <mergeCell ref="H5:H6"/>
    <mergeCell ref="I5:I6"/>
    <mergeCell ref="A5:A6"/>
    <mergeCell ref="B5:F5"/>
    <mergeCell ref="G5:G6"/>
    <mergeCell ref="A4:I4"/>
    <mergeCell ref="A2:I2"/>
    <mergeCell ref="A3:I3"/>
    <mergeCell ref="A1:I1"/>
  </mergeCells>
  <printOptions horizontalCentered="1"/>
  <pageMargins left="0.15748031496062992" right="0.15748031496062992" top="0.5905511811023623" bottom="0.7874015748031497" header="0.5118110236220472" footer="0.5118110236220472"/>
  <pageSetup firstPageNumber="18" useFirstPageNumber="1" horizontalDpi="600" verticalDpi="600" orientation="portrait" paperSize="9" scale="65" r:id="rId1"/>
  <headerFooter alignWithMargins="0">
    <oddFooter>&amp;C&amp;14-&amp;P--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I1"/>
  <sheetViews>
    <sheetView workbookViewId="0" topLeftCell="A1">
      <selection activeCell="D4" sqref="D4"/>
    </sheetView>
  </sheetViews>
  <sheetFormatPr defaultColWidth="9.00390625" defaultRowHeight="79.5" customHeight="1"/>
  <cols>
    <col min="1" max="16384" width="9.00390625" style="3" customWidth="1"/>
  </cols>
  <sheetData>
    <row r="1" spans="1:9" s="2" customFormat="1" ht="79.5" customHeight="1">
      <c r="A1" s="227" t="s">
        <v>101</v>
      </c>
      <c r="B1" s="227"/>
      <c r="C1" s="227"/>
      <c r="D1" s="227"/>
      <c r="E1" s="227"/>
      <c r="F1" s="227"/>
      <c r="G1" s="227"/>
      <c r="H1" s="227"/>
      <c r="I1" s="1"/>
    </row>
  </sheetData>
  <mergeCells count="1">
    <mergeCell ref="A1:H1"/>
  </mergeCells>
  <printOptions horizontalCentered="1" verticalCentered="1"/>
  <pageMargins left="0.7480314960629921" right="0.7480314960629921" top="0.984251968503937" bottom="0.984251968503937" header="0.5118110236220472" footer="0.5118110236220472"/>
  <pageSetup firstPageNumber="19" useFirstPageNumber="1" horizontalDpi="600" verticalDpi="600" orientation="portrait" paperSize="9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4"/>
  </sheetPr>
  <dimension ref="A1:AF14"/>
  <sheetViews>
    <sheetView zoomScale="60" zoomScaleNormal="60" workbookViewId="0" topLeftCell="A5">
      <pane xSplit="1" ySplit="2" topLeftCell="P7" activePane="bottomRight" state="frozen"/>
      <selection pane="topLeft" activeCell="A5" sqref="A5"/>
      <selection pane="topRight" activeCell="B5" sqref="B5"/>
      <selection pane="bottomLeft" activeCell="A7" sqref="A7"/>
      <selection pane="bottomRight" activeCell="Y14" sqref="Y14"/>
    </sheetView>
  </sheetViews>
  <sheetFormatPr defaultColWidth="9.00390625" defaultRowHeight="79.5" customHeight="1"/>
  <cols>
    <col min="1" max="1" width="17.625" style="8" customWidth="1"/>
    <col min="2" max="2" width="21.25390625" style="8" customWidth="1"/>
    <col min="3" max="3" width="19.375" style="8" customWidth="1"/>
    <col min="4" max="4" width="18.875" style="8" customWidth="1"/>
    <col min="5" max="5" width="6.50390625" style="8" customWidth="1"/>
    <col min="6" max="6" width="18.875" style="8" customWidth="1"/>
    <col min="7" max="7" width="17.625" style="8" customWidth="1"/>
    <col min="8" max="8" width="9.50390625" style="8" customWidth="1"/>
    <col min="9" max="9" width="17.625" style="8" customWidth="1"/>
    <col min="10" max="10" width="8.375" style="8" customWidth="1"/>
    <col min="11" max="11" width="20.25390625" style="8" customWidth="1"/>
    <col min="12" max="12" width="14.375" style="8" customWidth="1"/>
    <col min="13" max="13" width="19.625" style="8" customWidth="1"/>
    <col min="14" max="14" width="20.75390625" style="8" customWidth="1"/>
    <col min="15" max="15" width="19.625" style="8" customWidth="1"/>
    <col min="16" max="16" width="21.375" style="8" customWidth="1"/>
    <col min="17" max="17" width="6.625" style="8" customWidth="1"/>
    <col min="18" max="18" width="23.125" style="8" customWidth="1"/>
    <col min="19" max="19" width="21.50390625" style="8" customWidth="1"/>
    <col min="20" max="20" width="9.50390625" style="8" customWidth="1"/>
    <col min="21" max="21" width="22.00390625" style="8" customWidth="1"/>
    <col min="22" max="22" width="9.25390625" style="8" customWidth="1"/>
    <col min="23" max="23" width="22.125" style="8" customWidth="1"/>
    <col min="24" max="24" width="15.75390625" style="8" customWidth="1"/>
    <col min="25" max="25" width="20.75390625" style="8" customWidth="1"/>
    <col min="26" max="16384" width="9.00390625" style="8" customWidth="1"/>
  </cols>
  <sheetData>
    <row r="1" spans="1:25" s="23" customFormat="1" ht="25.5">
      <c r="A1" s="250" t="s">
        <v>319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</row>
    <row r="2" spans="1:25" s="23" customFormat="1" ht="30">
      <c r="A2" s="256" t="s">
        <v>16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</row>
    <row r="3" spans="1:25" ht="19.5">
      <c r="A3" s="249" t="s">
        <v>336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</row>
    <row r="4" spans="1:25" ht="20.25" thickBot="1">
      <c r="A4" s="210" t="s">
        <v>17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</row>
    <row r="5" spans="1:25" s="6" customFormat="1" ht="54" customHeight="1">
      <c r="A5" s="199" t="s">
        <v>9</v>
      </c>
      <c r="B5" s="235" t="s">
        <v>18</v>
      </c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7"/>
      <c r="N5" s="258" t="s">
        <v>19</v>
      </c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7"/>
    </row>
    <row r="6" spans="1:25" s="6" customFormat="1" ht="58.5" customHeight="1">
      <c r="A6" s="200"/>
      <c r="B6" s="14" t="s">
        <v>20</v>
      </c>
      <c r="C6" s="14" t="s">
        <v>21</v>
      </c>
      <c r="D6" s="14" t="s">
        <v>22</v>
      </c>
      <c r="E6" s="10" t="s">
        <v>87</v>
      </c>
      <c r="F6" s="14" t="s">
        <v>88</v>
      </c>
      <c r="G6" s="14" t="s">
        <v>23</v>
      </c>
      <c r="H6" s="10" t="s">
        <v>24</v>
      </c>
      <c r="I6" s="14" t="s">
        <v>25</v>
      </c>
      <c r="J6" s="14" t="s">
        <v>26</v>
      </c>
      <c r="K6" s="14" t="s">
        <v>2</v>
      </c>
      <c r="L6" s="14" t="s">
        <v>85</v>
      </c>
      <c r="M6" s="114" t="s">
        <v>27</v>
      </c>
      <c r="N6" s="151" t="s">
        <v>20</v>
      </c>
      <c r="O6" s="14" t="s">
        <v>21</v>
      </c>
      <c r="P6" s="14" t="s">
        <v>86</v>
      </c>
      <c r="Q6" s="10" t="s">
        <v>87</v>
      </c>
      <c r="R6" s="14" t="s">
        <v>88</v>
      </c>
      <c r="S6" s="14" t="s">
        <v>23</v>
      </c>
      <c r="T6" s="10" t="s">
        <v>24</v>
      </c>
      <c r="U6" s="14" t="s">
        <v>25</v>
      </c>
      <c r="V6" s="14" t="s">
        <v>26</v>
      </c>
      <c r="W6" s="14" t="s">
        <v>2</v>
      </c>
      <c r="X6" s="14" t="s">
        <v>85</v>
      </c>
      <c r="Y6" s="114" t="s">
        <v>27</v>
      </c>
    </row>
    <row r="7" spans="1:25" s="87" customFormat="1" ht="195.75" customHeight="1">
      <c r="A7" s="66" t="s">
        <v>28</v>
      </c>
      <c r="B7" s="111">
        <f>B8+B9</f>
        <v>534360000</v>
      </c>
      <c r="C7" s="111">
        <f aca="true" t="shared" si="0" ref="C7:J7">C8+C9</f>
        <v>33413000</v>
      </c>
      <c r="D7" s="111">
        <f t="shared" si="0"/>
        <v>28098000</v>
      </c>
      <c r="E7" s="111">
        <f t="shared" si="0"/>
        <v>0</v>
      </c>
      <c r="F7" s="111">
        <f t="shared" si="0"/>
        <v>148959000</v>
      </c>
      <c r="G7" s="111">
        <f t="shared" si="0"/>
        <v>58182000</v>
      </c>
      <c r="H7" s="111">
        <f t="shared" si="0"/>
        <v>0</v>
      </c>
      <c r="I7" s="111">
        <f t="shared" si="0"/>
        <v>73076000</v>
      </c>
      <c r="J7" s="111">
        <f t="shared" si="0"/>
        <v>0</v>
      </c>
      <c r="K7" s="111">
        <f>SUM(B7:J7)</f>
        <v>876088000</v>
      </c>
      <c r="L7" s="111">
        <f>L8+L9</f>
        <v>0</v>
      </c>
      <c r="M7" s="162">
        <f>SUM(K7:L7)</f>
        <v>876088000</v>
      </c>
      <c r="N7" s="175">
        <f>N8+N9</f>
        <v>497710088</v>
      </c>
      <c r="O7" s="111">
        <f aca="true" t="shared" si="1" ref="O7:V7">O8+O9</f>
        <v>34449962</v>
      </c>
      <c r="P7" s="111">
        <f t="shared" si="1"/>
        <v>23070155</v>
      </c>
      <c r="Q7" s="111">
        <f t="shared" si="1"/>
        <v>0</v>
      </c>
      <c r="R7" s="111">
        <f t="shared" si="1"/>
        <v>159935683</v>
      </c>
      <c r="S7" s="111">
        <f t="shared" si="1"/>
        <v>55250050</v>
      </c>
      <c r="T7" s="111">
        <f t="shared" si="1"/>
        <v>0</v>
      </c>
      <c r="U7" s="111">
        <f t="shared" si="1"/>
        <v>71469967</v>
      </c>
      <c r="V7" s="111">
        <f t="shared" si="1"/>
        <v>0</v>
      </c>
      <c r="W7" s="111">
        <f>SUM(N7:V7)</f>
        <v>841885905</v>
      </c>
      <c r="X7" s="111">
        <f>X8+X9</f>
        <v>0</v>
      </c>
      <c r="Y7" s="162">
        <f>SUM(W7:X7)</f>
        <v>841885905</v>
      </c>
    </row>
    <row r="8" spans="1:25" s="7" customFormat="1" ht="196.5" customHeight="1">
      <c r="A8" s="63" t="s">
        <v>29</v>
      </c>
      <c r="B8" s="112">
        <v>534360000</v>
      </c>
      <c r="C8" s="112">
        <v>0</v>
      </c>
      <c r="D8" s="112">
        <v>27812000</v>
      </c>
      <c r="E8" s="112">
        <v>0</v>
      </c>
      <c r="F8" s="112">
        <v>145280000</v>
      </c>
      <c r="G8" s="112">
        <v>56374000</v>
      </c>
      <c r="H8" s="112">
        <v>0</v>
      </c>
      <c r="I8" s="112">
        <v>68696000</v>
      </c>
      <c r="J8" s="112">
        <v>0</v>
      </c>
      <c r="K8" s="112">
        <f aca="true" t="shared" si="2" ref="K8:K14">SUM(B8:J8)</f>
        <v>832522000</v>
      </c>
      <c r="L8" s="112">
        <v>0</v>
      </c>
      <c r="M8" s="163">
        <f aca="true" t="shared" si="3" ref="M8:M14">SUM(K8:L8)</f>
        <v>832522000</v>
      </c>
      <c r="N8" s="176">
        <v>497710088</v>
      </c>
      <c r="O8" s="112"/>
      <c r="P8" s="112">
        <v>22627716</v>
      </c>
      <c r="Q8" s="112"/>
      <c r="R8" s="112">
        <v>155999607</v>
      </c>
      <c r="S8" s="112">
        <v>52583186</v>
      </c>
      <c r="T8" s="112"/>
      <c r="U8" s="112">
        <v>66505657</v>
      </c>
      <c r="V8" s="112"/>
      <c r="W8" s="112">
        <f>SUM(N8:V8)</f>
        <v>795426254</v>
      </c>
      <c r="X8" s="112">
        <v>0</v>
      </c>
      <c r="Y8" s="163">
        <f aca="true" t="shared" si="4" ref="Y8:Y14">SUM(W8:X8)</f>
        <v>795426254</v>
      </c>
    </row>
    <row r="9" spans="1:25" s="7" customFormat="1" ht="177.75" customHeight="1">
      <c r="A9" s="63" t="s">
        <v>30</v>
      </c>
      <c r="B9" s="112">
        <v>0</v>
      </c>
      <c r="C9" s="112">
        <v>33413000</v>
      </c>
      <c r="D9" s="112">
        <v>286000</v>
      </c>
      <c r="E9" s="112">
        <v>0</v>
      </c>
      <c r="F9" s="112">
        <v>3679000</v>
      </c>
      <c r="G9" s="112">
        <v>1808000</v>
      </c>
      <c r="H9" s="112">
        <v>0</v>
      </c>
      <c r="I9" s="112">
        <v>4380000</v>
      </c>
      <c r="J9" s="112">
        <v>0</v>
      </c>
      <c r="K9" s="112">
        <f t="shared" si="2"/>
        <v>43566000</v>
      </c>
      <c r="L9" s="112">
        <v>0</v>
      </c>
      <c r="M9" s="163">
        <f t="shared" si="3"/>
        <v>43566000</v>
      </c>
      <c r="N9" s="176">
        <v>0</v>
      </c>
      <c r="O9" s="112">
        <v>34449962</v>
      </c>
      <c r="P9" s="112">
        <v>442439</v>
      </c>
      <c r="Q9" s="112"/>
      <c r="R9" s="112">
        <v>3936076</v>
      </c>
      <c r="S9" s="112">
        <v>2666864</v>
      </c>
      <c r="T9" s="112"/>
      <c r="U9" s="112">
        <v>4964310</v>
      </c>
      <c r="V9" s="112"/>
      <c r="W9" s="112">
        <f aca="true" t="shared" si="5" ref="W9:W14">SUM(N9:V9)</f>
        <v>46459651</v>
      </c>
      <c r="X9" s="112">
        <v>0</v>
      </c>
      <c r="Y9" s="163">
        <f t="shared" si="4"/>
        <v>46459651</v>
      </c>
    </row>
    <row r="10" spans="1:25" s="36" customFormat="1" ht="182.25" customHeight="1">
      <c r="A10" s="83" t="s">
        <v>306</v>
      </c>
      <c r="B10" s="113">
        <f aca="true" t="shared" si="6" ref="B10:J10">SUM(B11:B11)</f>
        <v>0</v>
      </c>
      <c r="C10" s="113">
        <f t="shared" si="6"/>
        <v>1102000</v>
      </c>
      <c r="D10" s="113">
        <f t="shared" si="6"/>
        <v>0</v>
      </c>
      <c r="E10" s="113">
        <f t="shared" si="6"/>
        <v>0</v>
      </c>
      <c r="F10" s="113">
        <f t="shared" si="6"/>
        <v>139000</v>
      </c>
      <c r="G10" s="113">
        <f t="shared" si="6"/>
        <v>68000</v>
      </c>
      <c r="H10" s="113">
        <f t="shared" si="6"/>
        <v>0</v>
      </c>
      <c r="I10" s="113">
        <f t="shared" si="6"/>
        <v>179000</v>
      </c>
      <c r="J10" s="113">
        <f t="shared" si="6"/>
        <v>0</v>
      </c>
      <c r="K10" s="113">
        <f>SUM(B10:J10)</f>
        <v>1488000</v>
      </c>
      <c r="L10" s="113">
        <f>SUM(L11:L11)</f>
        <v>0</v>
      </c>
      <c r="M10" s="164">
        <f>SUM(K10:L10)</f>
        <v>1488000</v>
      </c>
      <c r="N10" s="177">
        <f aca="true" t="shared" si="7" ref="N10:V10">SUM(N11:N11)</f>
        <v>0</v>
      </c>
      <c r="O10" s="113">
        <f t="shared" si="7"/>
        <v>1074150</v>
      </c>
      <c r="P10" s="113">
        <f t="shared" si="7"/>
        <v>0</v>
      </c>
      <c r="Q10" s="113">
        <f t="shared" si="7"/>
        <v>0</v>
      </c>
      <c r="R10" s="113">
        <f t="shared" si="7"/>
        <v>132300</v>
      </c>
      <c r="S10" s="113">
        <f t="shared" si="7"/>
        <v>64986</v>
      </c>
      <c r="T10" s="113">
        <f t="shared" si="7"/>
        <v>0</v>
      </c>
      <c r="U10" s="113">
        <f t="shared" si="7"/>
        <v>166256</v>
      </c>
      <c r="V10" s="113">
        <f t="shared" si="7"/>
        <v>0</v>
      </c>
      <c r="W10" s="113">
        <f>SUM(N10:V10)</f>
        <v>1437692</v>
      </c>
      <c r="X10" s="113">
        <f>SUM(X11:X11)</f>
        <v>0</v>
      </c>
      <c r="Y10" s="164">
        <f>SUM(W10:X10)</f>
        <v>1437692</v>
      </c>
    </row>
    <row r="11" spans="1:25" s="7" customFormat="1" ht="181.5" customHeight="1">
      <c r="A11" s="63" t="s">
        <v>30</v>
      </c>
      <c r="B11" s="112">
        <v>0</v>
      </c>
      <c r="C11" s="112">
        <v>1102000</v>
      </c>
      <c r="D11" s="112">
        <v>0</v>
      </c>
      <c r="E11" s="112">
        <v>0</v>
      </c>
      <c r="F11" s="112">
        <v>139000</v>
      </c>
      <c r="G11" s="112">
        <v>68000</v>
      </c>
      <c r="H11" s="112">
        <v>0</v>
      </c>
      <c r="I11" s="112">
        <v>179000</v>
      </c>
      <c r="J11" s="112"/>
      <c r="K11" s="112">
        <f>SUM(B11:J11)</f>
        <v>1488000</v>
      </c>
      <c r="L11" s="112">
        <v>0</v>
      </c>
      <c r="M11" s="163">
        <f>SUM(K11:L11)</f>
        <v>1488000</v>
      </c>
      <c r="N11" s="176">
        <v>0</v>
      </c>
      <c r="O11" s="112">
        <v>1074150</v>
      </c>
      <c r="P11" s="112"/>
      <c r="Q11" s="112"/>
      <c r="R11" s="112">
        <v>132300</v>
      </c>
      <c r="S11" s="112">
        <v>64986</v>
      </c>
      <c r="T11" s="112"/>
      <c r="U11" s="112">
        <v>166256</v>
      </c>
      <c r="V11" s="112"/>
      <c r="W11" s="112">
        <f>SUM(N11:V11)</f>
        <v>1437692</v>
      </c>
      <c r="X11" s="112">
        <v>0</v>
      </c>
      <c r="Y11" s="163">
        <f>SUM(W11:X11)</f>
        <v>1437692</v>
      </c>
    </row>
    <row r="12" spans="1:25" s="36" customFormat="1" ht="185.25" customHeight="1">
      <c r="A12" s="83" t="s">
        <v>91</v>
      </c>
      <c r="B12" s="113">
        <f>B13</f>
        <v>0</v>
      </c>
      <c r="C12" s="113">
        <f>C13</f>
        <v>0</v>
      </c>
      <c r="D12" s="113">
        <f>D13</f>
        <v>0</v>
      </c>
      <c r="E12" s="113">
        <f aca="true" t="shared" si="8" ref="E12:J12">E13</f>
        <v>0</v>
      </c>
      <c r="F12" s="113">
        <f t="shared" si="8"/>
        <v>0</v>
      </c>
      <c r="G12" s="113">
        <f t="shared" si="8"/>
        <v>0</v>
      </c>
      <c r="H12" s="113">
        <f t="shared" si="8"/>
        <v>0</v>
      </c>
      <c r="I12" s="113">
        <f t="shared" si="8"/>
        <v>0</v>
      </c>
      <c r="J12" s="113">
        <f t="shared" si="8"/>
        <v>0</v>
      </c>
      <c r="K12" s="113">
        <f t="shared" si="2"/>
        <v>0</v>
      </c>
      <c r="L12" s="113">
        <f>L13</f>
        <v>105000</v>
      </c>
      <c r="M12" s="164">
        <f t="shared" si="3"/>
        <v>105000</v>
      </c>
      <c r="N12" s="177">
        <f>N13</f>
        <v>0</v>
      </c>
      <c r="O12" s="113">
        <f aca="true" t="shared" si="9" ref="O12:V12">O13</f>
        <v>0</v>
      </c>
      <c r="P12" s="113">
        <f t="shared" si="9"/>
        <v>0</v>
      </c>
      <c r="Q12" s="178">
        <f t="shared" si="9"/>
        <v>0</v>
      </c>
      <c r="R12" s="178">
        <f t="shared" si="9"/>
        <v>0</v>
      </c>
      <c r="S12" s="178">
        <f t="shared" si="9"/>
        <v>0</v>
      </c>
      <c r="T12" s="178">
        <f t="shared" si="9"/>
        <v>0</v>
      </c>
      <c r="U12" s="178">
        <f t="shared" si="9"/>
        <v>0</v>
      </c>
      <c r="V12" s="113">
        <f t="shared" si="9"/>
        <v>0</v>
      </c>
      <c r="W12" s="113">
        <f t="shared" si="5"/>
        <v>0</v>
      </c>
      <c r="X12" s="113">
        <f>X13</f>
        <v>85371</v>
      </c>
      <c r="Y12" s="164">
        <f t="shared" si="4"/>
        <v>85371</v>
      </c>
    </row>
    <row r="13" spans="1:25" s="7" customFormat="1" ht="204" customHeight="1">
      <c r="A13" s="63" t="s">
        <v>298</v>
      </c>
      <c r="B13" s="112">
        <v>0</v>
      </c>
      <c r="C13" s="112">
        <v>0</v>
      </c>
      <c r="D13" s="112">
        <v>0</v>
      </c>
      <c r="E13" s="112">
        <v>0</v>
      </c>
      <c r="F13" s="112">
        <v>0</v>
      </c>
      <c r="G13" s="112">
        <v>0</v>
      </c>
      <c r="H13" s="112">
        <v>0</v>
      </c>
      <c r="I13" s="112">
        <v>0</v>
      </c>
      <c r="J13" s="112">
        <v>0</v>
      </c>
      <c r="K13" s="112">
        <f t="shared" si="2"/>
        <v>0</v>
      </c>
      <c r="L13" s="112">
        <v>105000</v>
      </c>
      <c r="M13" s="163">
        <f t="shared" si="3"/>
        <v>105000</v>
      </c>
      <c r="N13" s="176">
        <v>0</v>
      </c>
      <c r="O13" s="112">
        <v>0</v>
      </c>
      <c r="P13" s="112">
        <v>0</v>
      </c>
      <c r="Q13" s="179">
        <v>0</v>
      </c>
      <c r="R13" s="179">
        <v>0</v>
      </c>
      <c r="S13" s="179">
        <v>0</v>
      </c>
      <c r="T13" s="179">
        <v>0</v>
      </c>
      <c r="U13" s="179">
        <v>0</v>
      </c>
      <c r="V13" s="112">
        <v>0</v>
      </c>
      <c r="W13" s="112">
        <f t="shared" si="5"/>
        <v>0</v>
      </c>
      <c r="X13" s="179">
        <v>85371</v>
      </c>
      <c r="Y13" s="163">
        <f>SUM(W13:X13)</f>
        <v>85371</v>
      </c>
    </row>
    <row r="14" spans="1:32" s="36" customFormat="1" ht="206.25" customHeight="1" thickBot="1">
      <c r="A14" s="76" t="s">
        <v>15</v>
      </c>
      <c r="B14" s="125">
        <f aca="true" t="shared" si="10" ref="B14:J14">B7+B12+B10</f>
        <v>534360000</v>
      </c>
      <c r="C14" s="125">
        <f t="shared" si="10"/>
        <v>34515000</v>
      </c>
      <c r="D14" s="125">
        <f t="shared" si="10"/>
        <v>28098000</v>
      </c>
      <c r="E14" s="125">
        <f t="shared" si="10"/>
        <v>0</v>
      </c>
      <c r="F14" s="125">
        <f t="shared" si="10"/>
        <v>149098000</v>
      </c>
      <c r="G14" s="125">
        <f t="shared" si="10"/>
        <v>58250000</v>
      </c>
      <c r="H14" s="125">
        <f t="shared" si="10"/>
        <v>0</v>
      </c>
      <c r="I14" s="125">
        <f t="shared" si="10"/>
        <v>73255000</v>
      </c>
      <c r="J14" s="125">
        <f t="shared" si="10"/>
        <v>0</v>
      </c>
      <c r="K14" s="125">
        <f t="shared" si="2"/>
        <v>877576000</v>
      </c>
      <c r="L14" s="125">
        <f>L7+L12+L10</f>
        <v>105000</v>
      </c>
      <c r="M14" s="126">
        <f t="shared" si="3"/>
        <v>877681000</v>
      </c>
      <c r="N14" s="180">
        <f aca="true" t="shared" si="11" ref="N14:V14">N7+N12+N10</f>
        <v>497710088</v>
      </c>
      <c r="O14" s="125">
        <f t="shared" si="11"/>
        <v>35524112</v>
      </c>
      <c r="P14" s="125">
        <f t="shared" si="11"/>
        <v>23070155</v>
      </c>
      <c r="Q14" s="125">
        <f t="shared" si="11"/>
        <v>0</v>
      </c>
      <c r="R14" s="125">
        <f t="shared" si="11"/>
        <v>160067983</v>
      </c>
      <c r="S14" s="125">
        <f t="shared" si="11"/>
        <v>55315036</v>
      </c>
      <c r="T14" s="125">
        <f t="shared" si="11"/>
        <v>0</v>
      </c>
      <c r="U14" s="125">
        <f t="shared" si="11"/>
        <v>71636223</v>
      </c>
      <c r="V14" s="125">
        <f t="shared" si="11"/>
        <v>0</v>
      </c>
      <c r="W14" s="125">
        <f t="shared" si="5"/>
        <v>843323597</v>
      </c>
      <c r="X14" s="125">
        <f>X7+X12+X10</f>
        <v>85371</v>
      </c>
      <c r="Y14" s="126">
        <f t="shared" si="4"/>
        <v>843408968</v>
      </c>
      <c r="Z14" s="93"/>
      <c r="AA14" s="93"/>
      <c r="AB14" s="93"/>
      <c r="AC14" s="93"/>
      <c r="AD14" s="93"/>
      <c r="AE14" s="93"/>
      <c r="AF14" s="93"/>
    </row>
  </sheetData>
  <mergeCells count="7">
    <mergeCell ref="A1:Y1"/>
    <mergeCell ref="A2:Y2"/>
    <mergeCell ref="A3:Y3"/>
    <mergeCell ref="A5:A6"/>
    <mergeCell ref="B5:M5"/>
    <mergeCell ref="N5:Y5"/>
    <mergeCell ref="A4:Y4"/>
  </mergeCells>
  <printOptions horizontalCentered="1"/>
  <pageMargins left="0" right="0" top="0.5905511811023623" bottom="0.7874015748031497" header="0.5118110236220472" footer="0.5118110236220472"/>
  <pageSetup firstPageNumber="20" useFirstPageNumber="1" horizontalDpi="600" verticalDpi="600" orientation="portrait" paperSize="9" scale="45" r:id="rId1"/>
  <headerFooter alignWithMargins="0">
    <oddFooter>&amp;C&amp;14-&amp;P--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4"/>
  </sheetPr>
  <dimension ref="A1:E22"/>
  <sheetViews>
    <sheetView zoomScale="50" zoomScaleNormal="50" workbookViewId="0" topLeftCell="A3">
      <pane xSplit="1" ySplit="3" topLeftCell="B6" activePane="bottomRight" state="frozen"/>
      <selection pane="topLeft" activeCell="A3" sqref="A3"/>
      <selection pane="topRight" activeCell="B3" sqref="B3"/>
      <selection pane="bottomLeft" activeCell="A6" sqref="A6"/>
      <selection pane="bottomRight" activeCell="C13" sqref="C13"/>
    </sheetView>
  </sheetViews>
  <sheetFormatPr defaultColWidth="9.00390625" defaultRowHeight="39.75" customHeight="1"/>
  <cols>
    <col min="1" max="1" width="25.625" style="7" customWidth="1"/>
    <col min="2" max="3" width="15.625" style="7" customWidth="1"/>
    <col min="4" max="4" width="14.75390625" style="7" customWidth="1"/>
    <col min="5" max="5" width="30.125" style="7" customWidth="1"/>
    <col min="6" max="16384" width="9.00390625" style="7" customWidth="1"/>
  </cols>
  <sheetData>
    <row r="1" spans="1:5" s="9" customFormat="1" ht="25.5">
      <c r="A1" s="233" t="s">
        <v>5</v>
      </c>
      <c r="B1" s="233"/>
      <c r="C1" s="233"/>
      <c r="D1" s="233"/>
      <c r="E1" s="233"/>
    </row>
    <row r="2" spans="1:5" s="4" customFormat="1" ht="27.75">
      <c r="A2" s="221" t="s">
        <v>315</v>
      </c>
      <c r="B2" s="221"/>
      <c r="C2" s="221"/>
      <c r="D2" s="221"/>
      <c r="E2" s="221"/>
    </row>
    <row r="3" spans="1:5" ht="19.5">
      <c r="A3" s="223" t="s">
        <v>333</v>
      </c>
      <c r="B3" s="223"/>
      <c r="C3" s="223"/>
      <c r="D3" s="223"/>
      <c r="E3" s="223"/>
    </row>
    <row r="4" spans="1:5" ht="20.25" thickBot="1">
      <c r="A4" s="210" t="s">
        <v>31</v>
      </c>
      <c r="B4" s="210"/>
      <c r="C4" s="210"/>
      <c r="D4" s="210"/>
      <c r="E4" s="210"/>
    </row>
    <row r="5" spans="1:5" s="11" customFormat="1" ht="45.75" customHeight="1">
      <c r="A5" s="53" t="s">
        <v>9</v>
      </c>
      <c r="B5" s="52" t="s">
        <v>3</v>
      </c>
      <c r="C5" s="52" t="s">
        <v>4</v>
      </c>
      <c r="D5" s="51" t="s">
        <v>6</v>
      </c>
      <c r="E5" s="54" t="s">
        <v>7</v>
      </c>
    </row>
    <row r="6" spans="1:5" s="36" customFormat="1" ht="30" customHeight="1">
      <c r="A6" s="66" t="s">
        <v>32</v>
      </c>
      <c r="B6" s="86">
        <f>SUM(B7:B13)</f>
        <v>1056</v>
      </c>
      <c r="C6" s="86">
        <f>SUM(C7:C13)</f>
        <v>999</v>
      </c>
      <c r="D6" s="86">
        <f>C6-B6</f>
        <v>-57</v>
      </c>
      <c r="E6" s="67"/>
    </row>
    <row r="7" spans="1:5" ht="30" customHeight="1">
      <c r="A7" s="62" t="s">
        <v>33</v>
      </c>
      <c r="B7" s="136">
        <v>549</v>
      </c>
      <c r="C7" s="136">
        <v>514</v>
      </c>
      <c r="D7" s="24">
        <f aca="true" t="shared" si="0" ref="D7:D17">C7-B7</f>
        <v>-35</v>
      </c>
      <c r="E7" s="144"/>
    </row>
    <row r="8" spans="1:5" ht="30" customHeight="1">
      <c r="A8" s="62" t="s">
        <v>339</v>
      </c>
      <c r="B8" s="136">
        <v>5</v>
      </c>
      <c r="C8" s="136">
        <v>4</v>
      </c>
      <c r="D8" s="136">
        <f t="shared" si="0"/>
        <v>-1</v>
      </c>
      <c r="E8" s="149"/>
    </row>
    <row r="9" spans="1:5" ht="30" customHeight="1">
      <c r="A9" s="62" t="s">
        <v>341</v>
      </c>
      <c r="B9" s="24">
        <v>339</v>
      </c>
      <c r="C9" s="24">
        <v>319</v>
      </c>
      <c r="D9" s="24">
        <f t="shared" si="0"/>
        <v>-20</v>
      </c>
      <c r="E9" s="68"/>
    </row>
    <row r="10" spans="1:5" ht="30" customHeight="1">
      <c r="A10" s="62" t="s">
        <v>34</v>
      </c>
      <c r="B10" s="24">
        <v>58</v>
      </c>
      <c r="C10" s="24">
        <v>55</v>
      </c>
      <c r="D10" s="24">
        <f t="shared" si="0"/>
        <v>-3</v>
      </c>
      <c r="E10" s="68"/>
    </row>
    <row r="11" spans="1:5" ht="30" customHeight="1">
      <c r="A11" s="62" t="s">
        <v>340</v>
      </c>
      <c r="B11" s="24">
        <v>36</v>
      </c>
      <c r="C11" s="24">
        <v>36</v>
      </c>
      <c r="D11" s="24">
        <f t="shared" si="0"/>
        <v>0</v>
      </c>
      <c r="E11" s="68"/>
    </row>
    <row r="12" spans="1:5" ht="30" customHeight="1">
      <c r="A12" s="62" t="s">
        <v>342</v>
      </c>
      <c r="B12" s="24">
        <v>55</v>
      </c>
      <c r="C12" s="24">
        <v>55</v>
      </c>
      <c r="D12" s="24">
        <f t="shared" si="0"/>
        <v>0</v>
      </c>
      <c r="E12" s="150"/>
    </row>
    <row r="13" spans="1:5" ht="351.75" customHeight="1">
      <c r="A13" s="62" t="s">
        <v>343</v>
      </c>
      <c r="B13" s="24">
        <v>14</v>
      </c>
      <c r="C13" s="24">
        <v>16</v>
      </c>
      <c r="D13" s="24">
        <f t="shared" si="0"/>
        <v>2</v>
      </c>
      <c r="E13" s="186" t="s">
        <v>345</v>
      </c>
    </row>
    <row r="14" spans="1:5" s="36" customFormat="1" ht="34.5" customHeight="1">
      <c r="A14" s="69" t="s">
        <v>35</v>
      </c>
      <c r="B14" s="88">
        <f>SUM(B15:B17)</f>
        <v>11</v>
      </c>
      <c r="C14" s="88">
        <f>SUM(C15:C17)</f>
        <v>11</v>
      </c>
      <c r="D14" s="24">
        <f t="shared" si="0"/>
        <v>0</v>
      </c>
      <c r="E14" s="89"/>
    </row>
    <row r="15" spans="1:5" ht="34.5" customHeight="1">
      <c r="A15" s="62" t="s">
        <v>327</v>
      </c>
      <c r="B15" s="24">
        <v>0</v>
      </c>
      <c r="C15" s="24">
        <v>0</v>
      </c>
      <c r="D15" s="24">
        <f t="shared" si="0"/>
        <v>0</v>
      </c>
      <c r="E15" s="68"/>
    </row>
    <row r="16" spans="1:5" ht="34.5" customHeight="1">
      <c r="A16" s="62" t="s">
        <v>36</v>
      </c>
      <c r="B16" s="24">
        <v>0</v>
      </c>
      <c r="C16" s="24">
        <v>0</v>
      </c>
      <c r="D16" s="24">
        <f t="shared" si="0"/>
        <v>0</v>
      </c>
      <c r="E16" s="68"/>
    </row>
    <row r="17" spans="1:5" ht="27.75" customHeight="1">
      <c r="A17" s="62" t="s">
        <v>37</v>
      </c>
      <c r="B17" s="24">
        <v>11</v>
      </c>
      <c r="C17" s="24">
        <v>11</v>
      </c>
      <c r="D17" s="24">
        <f t="shared" si="0"/>
        <v>0</v>
      </c>
      <c r="E17" s="68"/>
    </row>
    <row r="18" spans="1:5" ht="6.75" customHeight="1" hidden="1">
      <c r="A18" s="142"/>
      <c r="B18" s="24"/>
      <c r="C18" s="24"/>
      <c r="D18" s="24"/>
      <c r="E18" s="68"/>
    </row>
    <row r="19" spans="1:5" ht="5.25" customHeight="1">
      <c r="A19" s="142"/>
      <c r="B19" s="108"/>
      <c r="C19" s="108"/>
      <c r="D19" s="108"/>
      <c r="E19" s="47"/>
    </row>
    <row r="20" spans="1:5" s="36" customFormat="1" ht="30" customHeight="1" thickBot="1">
      <c r="A20" s="73" t="s">
        <v>326</v>
      </c>
      <c r="B20" s="92">
        <f>B6+B14</f>
        <v>1067</v>
      </c>
      <c r="C20" s="92">
        <f>C6+C14</f>
        <v>1010</v>
      </c>
      <c r="D20" s="92">
        <f>C20-B20</f>
        <v>-57</v>
      </c>
      <c r="E20" s="50"/>
    </row>
    <row r="21" spans="2:3" ht="39.75" customHeight="1">
      <c r="B21" s="13"/>
      <c r="C21" s="13"/>
    </row>
    <row r="22" spans="2:4" ht="39.75" customHeight="1">
      <c r="B22" s="13"/>
      <c r="C22" s="13"/>
      <c r="D22" s="13"/>
    </row>
  </sheetData>
  <mergeCells count="4">
    <mergeCell ref="A1:E1"/>
    <mergeCell ref="A2:E2"/>
    <mergeCell ref="A3:E3"/>
    <mergeCell ref="A4:E4"/>
  </mergeCells>
  <printOptions horizontalCentered="1"/>
  <pageMargins left="0.15748031496062992" right="0.15748031496062992" top="0.5905511811023623" bottom="0.7874015748031497" header="0.5118110236220472" footer="0.5118110236220472"/>
  <pageSetup firstPageNumber="22" useFirstPageNumber="1" horizontalDpi="600" verticalDpi="600" orientation="portrait" paperSize="9" scale="90" r:id="rId1"/>
  <headerFooter alignWithMargins="0">
    <oddFooter>&amp;C&amp;14-&amp;P--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J22" sqref="J22"/>
    </sheetView>
  </sheetViews>
  <sheetFormatPr defaultColWidth="9.00390625" defaultRowHeight="39.75" customHeight="1"/>
  <cols>
    <col min="1" max="16384" width="9.00390625" style="8" customWidth="1"/>
  </cols>
  <sheetData>
    <row r="1" spans="1:9" s="4" customFormat="1" ht="25.5" customHeight="1">
      <c r="A1" s="221" t="s">
        <v>70</v>
      </c>
      <c r="B1" s="221"/>
      <c r="C1" s="221"/>
      <c r="D1" s="221"/>
      <c r="E1" s="221"/>
      <c r="F1" s="221"/>
      <c r="G1" s="221"/>
      <c r="H1" s="221"/>
      <c r="I1" s="221"/>
    </row>
    <row r="2" spans="1:9" s="4" customFormat="1" ht="27" customHeight="1">
      <c r="A2" s="221" t="s">
        <v>71</v>
      </c>
      <c r="B2" s="221"/>
      <c r="C2" s="221"/>
      <c r="D2" s="221"/>
      <c r="E2" s="221"/>
      <c r="F2" s="221"/>
      <c r="G2" s="221"/>
      <c r="H2" s="221"/>
      <c r="I2" s="221"/>
    </row>
    <row r="3" spans="1:9" s="5" customFormat="1" ht="33" customHeight="1">
      <c r="A3" s="222" t="s">
        <v>344</v>
      </c>
      <c r="B3" s="222"/>
      <c r="C3" s="222"/>
      <c r="D3" s="222"/>
      <c r="E3" s="222"/>
      <c r="F3" s="222"/>
      <c r="G3" s="222"/>
      <c r="H3" s="222"/>
      <c r="I3" s="222"/>
    </row>
    <row r="4" spans="1:9" s="7" customFormat="1" ht="19.5">
      <c r="A4" s="223" t="s">
        <v>332</v>
      </c>
      <c r="B4" s="223"/>
      <c r="C4" s="223"/>
      <c r="D4" s="223"/>
      <c r="E4" s="223"/>
      <c r="F4" s="223"/>
      <c r="G4" s="223"/>
      <c r="H4" s="223"/>
      <c r="I4" s="223"/>
    </row>
    <row r="5" s="7" customFormat="1" ht="9.75" customHeight="1"/>
    <row r="6" spans="1:9" s="7" customFormat="1" ht="30.75" customHeight="1">
      <c r="A6" s="220" t="s">
        <v>72</v>
      </c>
      <c r="B6" s="219"/>
      <c r="C6" s="219"/>
      <c r="D6" s="219"/>
      <c r="E6" s="219"/>
      <c r="F6" s="219"/>
      <c r="G6" s="219"/>
      <c r="H6" s="219"/>
      <c r="I6" s="31"/>
    </row>
    <row r="7" spans="1:9" s="7" customFormat="1" ht="30.75" customHeight="1">
      <c r="A7" s="219" t="s">
        <v>73</v>
      </c>
      <c r="B7" s="219"/>
      <c r="C7" s="219"/>
      <c r="D7" s="219"/>
      <c r="E7" s="219"/>
      <c r="F7" s="219"/>
      <c r="G7" s="219"/>
      <c r="H7" s="219"/>
      <c r="I7" s="31" t="s">
        <v>90</v>
      </c>
    </row>
    <row r="8" spans="1:9" s="7" customFormat="1" ht="30.75" customHeight="1">
      <c r="A8" s="219" t="s">
        <v>74</v>
      </c>
      <c r="B8" s="219"/>
      <c r="C8" s="219"/>
      <c r="D8" s="219"/>
      <c r="E8" s="219"/>
      <c r="F8" s="219"/>
      <c r="G8" s="219"/>
      <c r="H8" s="219"/>
      <c r="I8" s="31" t="s">
        <v>100</v>
      </c>
    </row>
    <row r="9" spans="1:9" s="7" customFormat="1" ht="30.75" customHeight="1">
      <c r="A9" s="219" t="s">
        <v>75</v>
      </c>
      <c r="B9" s="219"/>
      <c r="C9" s="219"/>
      <c r="D9" s="219"/>
      <c r="E9" s="219"/>
      <c r="F9" s="219"/>
      <c r="G9" s="219"/>
      <c r="H9" s="219"/>
      <c r="I9" s="31" t="s">
        <v>271</v>
      </c>
    </row>
    <row r="10" spans="1:9" s="7" customFormat="1" ht="30.75" customHeight="1">
      <c r="A10" s="219" t="s">
        <v>76</v>
      </c>
      <c r="B10" s="219"/>
      <c r="C10" s="219"/>
      <c r="D10" s="219"/>
      <c r="E10" s="219"/>
      <c r="F10" s="219"/>
      <c r="G10" s="219"/>
      <c r="H10" s="219"/>
      <c r="I10" s="31" t="s">
        <v>320</v>
      </c>
    </row>
    <row r="11" spans="1:9" s="7" customFormat="1" ht="30.75" customHeight="1">
      <c r="A11" s="219" t="s">
        <v>105</v>
      </c>
      <c r="B11" s="219"/>
      <c r="C11" s="219"/>
      <c r="D11" s="219"/>
      <c r="E11" s="219"/>
      <c r="F11" s="219"/>
      <c r="G11" s="219"/>
      <c r="H11" s="219"/>
      <c r="I11" s="31" t="s">
        <v>307</v>
      </c>
    </row>
    <row r="12" spans="1:9" s="7" customFormat="1" ht="30.75" customHeight="1">
      <c r="A12" s="219" t="s">
        <v>106</v>
      </c>
      <c r="B12" s="219"/>
      <c r="C12" s="219"/>
      <c r="D12" s="219"/>
      <c r="E12" s="219"/>
      <c r="F12" s="219"/>
      <c r="G12" s="219"/>
      <c r="H12" s="219"/>
      <c r="I12" s="31" t="s">
        <v>102</v>
      </c>
    </row>
    <row r="13" spans="1:9" s="7" customFormat="1" ht="30.75" customHeight="1">
      <c r="A13" s="220" t="s">
        <v>77</v>
      </c>
      <c r="B13" s="220"/>
      <c r="C13" s="220"/>
      <c r="D13" s="220"/>
      <c r="E13" s="220"/>
      <c r="F13" s="220"/>
      <c r="G13" s="220"/>
      <c r="H13" s="220"/>
      <c r="I13" s="31"/>
    </row>
    <row r="14" spans="1:9" s="7" customFormat="1" ht="30.75" customHeight="1">
      <c r="A14" s="219" t="s">
        <v>78</v>
      </c>
      <c r="B14" s="219"/>
      <c r="C14" s="219"/>
      <c r="D14" s="219"/>
      <c r="E14" s="219"/>
      <c r="F14" s="219"/>
      <c r="G14" s="219"/>
      <c r="H14" s="219"/>
      <c r="I14" s="31" t="s">
        <v>447</v>
      </c>
    </row>
    <row r="15" spans="1:9" s="7" customFormat="1" ht="30.75" customHeight="1">
      <c r="A15" s="219" t="s">
        <v>79</v>
      </c>
      <c r="B15" s="219"/>
      <c r="C15" s="219"/>
      <c r="D15" s="219"/>
      <c r="E15" s="219"/>
      <c r="F15" s="219"/>
      <c r="G15" s="219"/>
      <c r="H15" s="219"/>
      <c r="I15" s="31" t="s">
        <v>448</v>
      </c>
    </row>
    <row r="16" spans="1:9" s="7" customFormat="1" ht="30.75" customHeight="1">
      <c r="A16" s="219" t="s">
        <v>80</v>
      </c>
      <c r="B16" s="219"/>
      <c r="C16" s="219"/>
      <c r="D16" s="219"/>
      <c r="E16" s="219"/>
      <c r="F16" s="219"/>
      <c r="G16" s="219"/>
      <c r="H16" s="219"/>
      <c r="I16" s="31" t="s">
        <v>449</v>
      </c>
    </row>
    <row r="17" spans="1:9" s="7" customFormat="1" ht="30.75" customHeight="1">
      <c r="A17" s="220" t="s">
        <v>81</v>
      </c>
      <c r="B17" s="220"/>
      <c r="C17" s="220"/>
      <c r="D17" s="220"/>
      <c r="E17" s="220"/>
      <c r="F17" s="220"/>
      <c r="G17" s="220"/>
      <c r="H17" s="220"/>
      <c r="I17" s="31"/>
    </row>
    <row r="18" spans="1:9" s="7" customFormat="1" ht="30.75" customHeight="1">
      <c r="A18" s="219" t="s">
        <v>82</v>
      </c>
      <c r="B18" s="219"/>
      <c r="C18" s="219"/>
      <c r="D18" s="219"/>
      <c r="E18" s="219"/>
      <c r="F18" s="219"/>
      <c r="G18" s="219"/>
      <c r="H18" s="219"/>
      <c r="I18" s="31" t="s">
        <v>450</v>
      </c>
    </row>
    <row r="19" spans="1:9" s="7" customFormat="1" ht="30.75" customHeight="1">
      <c r="A19" s="219" t="s">
        <v>83</v>
      </c>
      <c r="B19" s="219"/>
      <c r="C19" s="219"/>
      <c r="D19" s="219"/>
      <c r="E19" s="219"/>
      <c r="F19" s="219"/>
      <c r="G19" s="219"/>
      <c r="H19" s="219"/>
      <c r="I19" s="31" t="s">
        <v>451</v>
      </c>
    </row>
    <row r="20" spans="1:9" s="7" customFormat="1" ht="30.75" customHeight="1">
      <c r="A20" s="219" t="s">
        <v>94</v>
      </c>
      <c r="B20" s="219"/>
      <c r="C20" s="219"/>
      <c r="D20" s="219"/>
      <c r="E20" s="219"/>
      <c r="F20" s="219"/>
      <c r="G20" s="219"/>
      <c r="H20" s="219"/>
      <c r="I20" s="147">
        <v>17</v>
      </c>
    </row>
    <row r="21" spans="1:9" s="7" customFormat="1" ht="30.75" customHeight="1">
      <c r="A21" s="219" t="s">
        <v>95</v>
      </c>
      <c r="B21" s="219"/>
      <c r="C21" s="219"/>
      <c r="D21" s="219"/>
      <c r="E21" s="219"/>
      <c r="F21" s="219"/>
      <c r="G21" s="219"/>
      <c r="H21" s="219"/>
      <c r="I21" s="31" t="s">
        <v>452</v>
      </c>
    </row>
    <row r="22" spans="1:9" s="7" customFormat="1" ht="30.75" customHeight="1">
      <c r="A22" s="219" t="s">
        <v>96</v>
      </c>
      <c r="B22" s="219"/>
      <c r="C22" s="219"/>
      <c r="D22" s="219"/>
      <c r="E22" s="219"/>
      <c r="F22" s="219"/>
      <c r="G22" s="219"/>
      <c r="H22" s="219"/>
      <c r="I22" s="31" t="s">
        <v>312</v>
      </c>
    </row>
    <row r="23" spans="1:9" s="7" customFormat="1" ht="30.75" customHeight="1">
      <c r="A23" s="219" t="s">
        <v>97</v>
      </c>
      <c r="B23" s="219"/>
      <c r="C23" s="219"/>
      <c r="D23" s="219"/>
      <c r="E23" s="219"/>
      <c r="F23" s="219"/>
      <c r="G23" s="219"/>
      <c r="H23" s="219"/>
      <c r="I23" s="31" t="s">
        <v>453</v>
      </c>
    </row>
    <row r="24" spans="1:9" s="7" customFormat="1" ht="30.75" customHeight="1">
      <c r="A24" s="219" t="s">
        <v>272</v>
      </c>
      <c r="B24" s="219"/>
      <c r="C24" s="219"/>
      <c r="D24" s="219"/>
      <c r="E24" s="219"/>
      <c r="F24" s="219"/>
      <c r="G24" s="219"/>
      <c r="H24" s="219"/>
      <c r="I24" s="31" t="s">
        <v>454</v>
      </c>
    </row>
    <row r="25" spans="1:9" s="7" customFormat="1" ht="30.75" customHeight="1">
      <c r="A25" s="219" t="s">
        <v>98</v>
      </c>
      <c r="B25" s="219"/>
      <c r="C25" s="219"/>
      <c r="D25" s="219"/>
      <c r="E25" s="219"/>
      <c r="F25" s="219"/>
      <c r="G25" s="219"/>
      <c r="H25" s="219"/>
      <c r="I25" s="31" t="s">
        <v>455</v>
      </c>
    </row>
    <row r="26" spans="1:9" s="7" customFormat="1" ht="30.75" customHeight="1">
      <c r="A26" s="219" t="s">
        <v>99</v>
      </c>
      <c r="B26" s="219"/>
      <c r="C26" s="219"/>
      <c r="D26" s="219"/>
      <c r="E26" s="219"/>
      <c r="F26" s="219"/>
      <c r="G26" s="219"/>
      <c r="H26" s="219"/>
      <c r="I26" s="31" t="s">
        <v>456</v>
      </c>
    </row>
    <row r="27" spans="1:9" s="7" customFormat="1" ht="30" customHeight="1">
      <c r="A27" s="8"/>
      <c r="B27" s="8"/>
      <c r="C27" s="8"/>
      <c r="D27" s="8"/>
      <c r="E27" s="8"/>
      <c r="F27" s="8"/>
      <c r="G27" s="8"/>
      <c r="H27" s="8"/>
      <c r="I27" s="31"/>
    </row>
    <row r="28" spans="1:9" s="7" customFormat="1" ht="30" customHeight="1">
      <c r="A28" s="8"/>
      <c r="B28" s="8"/>
      <c r="C28" s="8"/>
      <c r="D28" s="8"/>
      <c r="E28" s="8"/>
      <c r="F28" s="8"/>
      <c r="G28" s="8"/>
      <c r="H28" s="8"/>
      <c r="I28" s="31"/>
    </row>
    <row r="29" spans="1:9" s="7" customFormat="1" ht="30" customHeight="1">
      <c r="A29" s="8"/>
      <c r="B29" s="8"/>
      <c r="C29" s="8"/>
      <c r="D29" s="8"/>
      <c r="E29" s="8"/>
      <c r="F29" s="8"/>
      <c r="G29" s="8"/>
      <c r="H29" s="8"/>
      <c r="I29" s="31"/>
    </row>
    <row r="30" ht="30" customHeight="1">
      <c r="I30" s="31"/>
    </row>
  </sheetData>
  <mergeCells count="25">
    <mergeCell ref="A1:I1"/>
    <mergeCell ref="A2:I2"/>
    <mergeCell ref="A3:I3"/>
    <mergeCell ref="A4:I4"/>
    <mergeCell ref="A6:H6"/>
    <mergeCell ref="A12:H12"/>
    <mergeCell ref="A13:H13"/>
    <mergeCell ref="A14:H14"/>
    <mergeCell ref="A7:H7"/>
    <mergeCell ref="A8:H8"/>
    <mergeCell ref="A9:H9"/>
    <mergeCell ref="A10:H10"/>
    <mergeCell ref="A11:H11"/>
    <mergeCell ref="A15:H15"/>
    <mergeCell ref="A17:H17"/>
    <mergeCell ref="A18:H18"/>
    <mergeCell ref="A16:H16"/>
    <mergeCell ref="A22:H22"/>
    <mergeCell ref="A19:H19"/>
    <mergeCell ref="A20:H20"/>
    <mergeCell ref="A21:H21"/>
    <mergeCell ref="A26:H26"/>
    <mergeCell ref="A23:H23"/>
    <mergeCell ref="A25:H25"/>
    <mergeCell ref="A24:H24"/>
  </mergeCells>
  <printOptions horizontalCentered="1" verticalCentered="1"/>
  <pageMargins left="0.9448818897637796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4"/>
  </sheetPr>
  <dimension ref="A1:K11"/>
  <sheetViews>
    <sheetView tabSelected="1" view="pageBreakPreview" zoomScale="60" zoomScaleNormal="50" workbookViewId="0" topLeftCell="A1">
      <pane ySplit="6" topLeftCell="BM7" activePane="bottomLeft" state="frozen"/>
      <selection pane="topLeft" activeCell="A1" sqref="A1"/>
      <selection pane="bottomLeft" activeCell="F7" sqref="F7"/>
    </sheetView>
  </sheetViews>
  <sheetFormatPr defaultColWidth="9.00390625" defaultRowHeight="25.5" customHeight="1"/>
  <cols>
    <col min="1" max="1" width="19.00390625" style="15" customWidth="1"/>
    <col min="2" max="2" width="6.875" style="15" customWidth="1"/>
    <col min="3" max="3" width="7.625" style="15" customWidth="1"/>
    <col min="4" max="4" width="18.75390625" style="15" customWidth="1"/>
    <col min="5" max="5" width="6.875" style="15" customWidth="1"/>
    <col min="6" max="6" width="19.00390625" style="15" customWidth="1"/>
    <col min="7" max="7" width="7.125" style="15" customWidth="1"/>
    <col min="8" max="8" width="9.75390625" style="15" customWidth="1"/>
    <col min="9" max="9" width="17.375" style="15" customWidth="1"/>
    <col min="10" max="10" width="8.625" style="15" customWidth="1"/>
    <col min="11" max="11" width="16.75390625" style="15" customWidth="1"/>
    <col min="12" max="16384" width="9.00390625" style="15" customWidth="1"/>
  </cols>
  <sheetData>
    <row r="1" spans="1:11" ht="27.75">
      <c r="A1" s="221" t="s">
        <v>176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30">
      <c r="A2" s="259" t="s">
        <v>269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21">
      <c r="A3" s="260" t="s">
        <v>333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</row>
    <row r="4" spans="1:11" ht="21.75" thickBot="1">
      <c r="A4" s="261" t="s">
        <v>177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</row>
    <row r="5" spans="1:11" s="17" customFormat="1" ht="49.5" customHeight="1">
      <c r="A5" s="262" t="s">
        <v>178</v>
      </c>
      <c r="B5" s="264" t="s">
        <v>179</v>
      </c>
      <c r="C5" s="264" t="s">
        <v>299</v>
      </c>
      <c r="D5" s="264"/>
      <c r="E5" s="264" t="s">
        <v>181</v>
      </c>
      <c r="F5" s="264"/>
      <c r="G5" s="264" t="s">
        <v>182</v>
      </c>
      <c r="H5" s="264"/>
      <c r="I5" s="264"/>
      <c r="J5" s="264"/>
      <c r="K5" s="269" t="s">
        <v>183</v>
      </c>
    </row>
    <row r="6" spans="1:11" s="17" customFormat="1" ht="49.5" customHeight="1">
      <c r="A6" s="263"/>
      <c r="B6" s="265"/>
      <c r="C6" s="34" t="s">
        <v>184</v>
      </c>
      <c r="D6" s="16" t="s">
        <v>185</v>
      </c>
      <c r="E6" s="35" t="s">
        <v>184</v>
      </c>
      <c r="F6" s="16" t="s">
        <v>185</v>
      </c>
      <c r="G6" s="34" t="s">
        <v>184</v>
      </c>
      <c r="H6" s="16" t="s">
        <v>186</v>
      </c>
      <c r="I6" s="16" t="s">
        <v>185</v>
      </c>
      <c r="J6" s="16" t="s">
        <v>186</v>
      </c>
      <c r="K6" s="270"/>
    </row>
    <row r="7" spans="1:11" ht="165" customHeight="1">
      <c r="A7" s="118" t="s">
        <v>274</v>
      </c>
      <c r="B7" s="123" t="s">
        <v>275</v>
      </c>
      <c r="C7" s="18">
        <v>3597</v>
      </c>
      <c r="D7" s="112">
        <f>'基金用途明細表'!B8</f>
        <v>1633674000</v>
      </c>
      <c r="E7" s="18">
        <v>3211</v>
      </c>
      <c r="F7" s="112">
        <f>'基金用途明細表'!C8</f>
        <v>1501771024</v>
      </c>
      <c r="G7" s="18">
        <f>E7-C7</f>
        <v>-386</v>
      </c>
      <c r="H7" s="19">
        <f>ABS(G7/C7%)</f>
        <v>10.731164859605228</v>
      </c>
      <c r="I7" s="112">
        <f>F7-D7</f>
        <v>-131902976</v>
      </c>
      <c r="J7" s="19">
        <f>ABS(I7/D7*100)</f>
        <v>8.074008400696835</v>
      </c>
      <c r="K7" s="267" t="s">
        <v>360</v>
      </c>
    </row>
    <row r="8" spans="1:11" ht="178.5" customHeight="1">
      <c r="A8" s="118"/>
      <c r="B8" s="123"/>
      <c r="C8" s="18"/>
      <c r="D8" s="112"/>
      <c r="E8" s="18"/>
      <c r="F8" s="112"/>
      <c r="G8" s="18"/>
      <c r="H8" s="19"/>
      <c r="I8" s="112"/>
      <c r="J8" s="19"/>
      <c r="K8" s="268"/>
    </row>
    <row r="9" spans="1:11" ht="178.5" customHeight="1">
      <c r="A9" s="119" t="s">
        <v>300</v>
      </c>
      <c r="B9" s="123" t="s">
        <v>361</v>
      </c>
      <c r="C9" s="24"/>
      <c r="D9" s="112">
        <f>'基金用途明細表'!B60</f>
        <v>1155744000</v>
      </c>
      <c r="E9" s="24"/>
      <c r="F9" s="112">
        <f>'基金用途明細表'!C60</f>
        <v>955840330</v>
      </c>
      <c r="G9" s="18"/>
      <c r="H9" s="19"/>
      <c r="I9" s="112">
        <f>F9-D9</f>
        <v>-199903670</v>
      </c>
      <c r="J9" s="19">
        <f>ABS(I9/D9*100)</f>
        <v>17.296535391920703</v>
      </c>
      <c r="K9" s="266" t="s">
        <v>359</v>
      </c>
    </row>
    <row r="10" spans="1:11" ht="127.5" customHeight="1">
      <c r="A10" s="118"/>
      <c r="B10" s="20"/>
      <c r="C10" s="21"/>
      <c r="D10" s="181"/>
      <c r="E10" s="21"/>
      <c r="F10" s="181"/>
      <c r="G10" s="21"/>
      <c r="H10" s="21"/>
      <c r="I10" s="21"/>
      <c r="J10" s="22"/>
      <c r="K10" s="266"/>
    </row>
    <row r="11" spans="1:11" ht="261.75" customHeight="1" thickBot="1">
      <c r="A11" s="94"/>
      <c r="B11" s="95"/>
      <c r="C11" s="96"/>
      <c r="D11" s="96"/>
      <c r="E11" s="96"/>
      <c r="F11" s="182"/>
      <c r="G11" s="96"/>
      <c r="H11" s="96"/>
      <c r="I11" s="96"/>
      <c r="J11" s="128"/>
      <c r="K11" s="97"/>
    </row>
    <row r="12" ht="46.5" customHeight="1"/>
  </sheetData>
  <mergeCells count="12">
    <mergeCell ref="K9:K10"/>
    <mergeCell ref="K7:K8"/>
    <mergeCell ref="G5:J5"/>
    <mergeCell ref="K5:K6"/>
    <mergeCell ref="A5:A6"/>
    <mergeCell ref="B5:B6"/>
    <mergeCell ref="C5:D5"/>
    <mergeCell ref="E5:F5"/>
    <mergeCell ref="A1:K1"/>
    <mergeCell ref="A2:K2"/>
    <mergeCell ref="A3:K3"/>
    <mergeCell ref="A4:K4"/>
  </mergeCells>
  <printOptions horizontalCentered="1"/>
  <pageMargins left="0.15748031496062992" right="0.15748031496062992" top="0.5905511811023623" bottom="0.7874015748031497" header="0.5118110236220472" footer="0.5118110236220472"/>
  <pageSetup firstPageNumber="23" useFirstPageNumber="1" horizontalDpi="600" verticalDpi="600" orientation="portrait" paperSize="9" scale="70" r:id="rId1"/>
  <headerFooter alignWithMargins="0">
    <oddFooter>&amp;C&amp;14-&amp;P--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4"/>
  </sheetPr>
  <dimension ref="A1:G75"/>
  <sheetViews>
    <sheetView zoomScale="75" zoomScaleNormal="75" workbookViewId="0" topLeftCell="A1">
      <pane ySplit="6" topLeftCell="BM34" activePane="bottomLeft" state="frozen"/>
      <selection pane="topLeft" activeCell="A1" sqref="A1"/>
      <selection pane="bottomLeft" activeCell="A42" sqref="A42"/>
    </sheetView>
  </sheetViews>
  <sheetFormatPr defaultColWidth="9.00390625" defaultRowHeight="16.5"/>
  <cols>
    <col min="1" max="1" width="39.75390625" style="25" customWidth="1"/>
    <col min="2" max="2" width="21.50390625" style="25" customWidth="1"/>
    <col min="3" max="3" width="21.625" style="25" customWidth="1"/>
    <col min="4" max="4" width="20.00390625" style="25" customWidth="1"/>
    <col min="5" max="5" width="9.625" style="25" customWidth="1"/>
    <col min="6" max="6" width="9.00390625" style="25" customWidth="1"/>
    <col min="7" max="7" width="15.50390625" style="25" bestFit="1" customWidth="1"/>
    <col min="8" max="16384" width="9.00390625" style="25" customWidth="1"/>
  </cols>
  <sheetData>
    <row r="1" spans="1:5" ht="25.5">
      <c r="A1" s="250" t="s">
        <v>187</v>
      </c>
      <c r="B1" s="250"/>
      <c r="C1" s="250"/>
      <c r="D1" s="250"/>
      <c r="E1" s="250"/>
    </row>
    <row r="2" spans="1:5" ht="27.75">
      <c r="A2" s="248" t="s">
        <v>188</v>
      </c>
      <c r="B2" s="248"/>
      <c r="C2" s="248"/>
      <c r="D2" s="248"/>
      <c r="E2" s="248"/>
    </row>
    <row r="3" spans="1:5" ht="19.5">
      <c r="A3" s="249" t="s">
        <v>336</v>
      </c>
      <c r="B3" s="249"/>
      <c r="C3" s="249"/>
      <c r="D3" s="249"/>
      <c r="E3" s="249"/>
    </row>
    <row r="4" spans="1:5" ht="20.25" thickBot="1">
      <c r="A4" s="210" t="s">
        <v>189</v>
      </c>
      <c r="B4" s="210"/>
      <c r="C4" s="210"/>
      <c r="D4" s="210"/>
      <c r="E4" s="210"/>
    </row>
    <row r="5" spans="1:5" s="26" customFormat="1" ht="39.75" customHeight="1">
      <c r="A5" s="205" t="s">
        <v>190</v>
      </c>
      <c r="B5" s="203" t="s">
        <v>301</v>
      </c>
      <c r="C5" s="272" t="s">
        <v>191</v>
      </c>
      <c r="D5" s="201" t="s">
        <v>192</v>
      </c>
      <c r="E5" s="207"/>
    </row>
    <row r="6" spans="1:5" s="26" customFormat="1" ht="39.75" customHeight="1">
      <c r="A6" s="271"/>
      <c r="B6" s="204"/>
      <c r="C6" s="273"/>
      <c r="D6" s="10" t="s">
        <v>193</v>
      </c>
      <c r="E6" s="37" t="s">
        <v>194</v>
      </c>
    </row>
    <row r="7" spans="1:5" s="99" customFormat="1" ht="21.75" customHeight="1">
      <c r="A7" s="66" t="s">
        <v>195</v>
      </c>
      <c r="B7" s="111">
        <f>SUM(B8:B13)</f>
        <v>877681000</v>
      </c>
      <c r="C7" s="111">
        <f>SUM(C8:C13)</f>
        <v>843408968</v>
      </c>
      <c r="D7" s="111">
        <f aca="true" t="shared" si="0" ref="D7:D44">C7-B7</f>
        <v>-34272032</v>
      </c>
      <c r="E7" s="98">
        <f>ABS(D7/B7*100)</f>
        <v>3.904839229742925</v>
      </c>
    </row>
    <row r="8" spans="1:5" s="99" customFormat="1" ht="21.75" customHeight="1">
      <c r="A8" s="62" t="s">
        <v>196</v>
      </c>
      <c r="B8" s="112">
        <f>SUM('基金用途明細表'!B10)</f>
        <v>534360000</v>
      </c>
      <c r="C8" s="112">
        <f>SUM('基金用途明細表'!C10)</f>
        <v>497710088</v>
      </c>
      <c r="D8" s="112">
        <f t="shared" si="0"/>
        <v>-36649912</v>
      </c>
      <c r="E8" s="68">
        <f>ABS(D8/B8*100)</f>
        <v>6.8586555879931135</v>
      </c>
    </row>
    <row r="9" spans="1:5" ht="21.75" customHeight="1">
      <c r="A9" s="62" t="s">
        <v>197</v>
      </c>
      <c r="B9" s="112">
        <f>SUM('基金用途明細表'!B11,'基金用途明細表'!B49)</f>
        <v>34515000</v>
      </c>
      <c r="C9" s="112">
        <f>SUM('基金用途明細表'!C11,'基金用途明細表'!C49)</f>
        <v>35524112</v>
      </c>
      <c r="D9" s="112">
        <f t="shared" si="0"/>
        <v>1009112</v>
      </c>
      <c r="E9" s="68">
        <f>ABS(D9/B9*100)</f>
        <v>2.9236911487758945</v>
      </c>
    </row>
    <row r="10" spans="1:5" ht="21.75" customHeight="1">
      <c r="A10" s="62" t="s">
        <v>198</v>
      </c>
      <c r="B10" s="112">
        <f>SUM('基金用途明細表'!B12,'基金用途明細表'!B71)</f>
        <v>28203000</v>
      </c>
      <c r="C10" s="112">
        <f>SUM('基金用途明細表'!C12,'基金用途明細表'!C71)</f>
        <v>23155526</v>
      </c>
      <c r="D10" s="112">
        <f t="shared" si="0"/>
        <v>-5047474</v>
      </c>
      <c r="E10" s="68">
        <f aca="true" t="shared" si="1" ref="E10:E44">ABS(D10/B10*100)</f>
        <v>17.89694004183952</v>
      </c>
    </row>
    <row r="11" spans="1:5" ht="21.75" customHeight="1">
      <c r="A11" s="62" t="s">
        <v>199</v>
      </c>
      <c r="B11" s="112">
        <f>SUM('基金用途明細表'!B13,'基金用途明細表'!B50)</f>
        <v>149098000</v>
      </c>
      <c r="C11" s="112">
        <f>SUM('基金用途明細表'!C13,'基金用途明細表'!C50)</f>
        <v>160067983</v>
      </c>
      <c r="D11" s="112">
        <f t="shared" si="0"/>
        <v>10969983</v>
      </c>
      <c r="E11" s="68">
        <f t="shared" si="1"/>
        <v>7.357565493836268</v>
      </c>
    </row>
    <row r="12" spans="1:5" ht="21.75" customHeight="1">
      <c r="A12" s="62" t="s">
        <v>200</v>
      </c>
      <c r="B12" s="112">
        <f>SUM('基金用途明細表'!B14,'基金用途明細表'!B51)</f>
        <v>58250000</v>
      </c>
      <c r="C12" s="112">
        <f>SUM('基金用途明細表'!C14,'基金用途明細表'!C51)</f>
        <v>55315036</v>
      </c>
      <c r="D12" s="112">
        <f t="shared" si="0"/>
        <v>-2934964</v>
      </c>
      <c r="E12" s="68">
        <f t="shared" si="1"/>
        <v>5.038564806866953</v>
      </c>
    </row>
    <row r="13" spans="1:5" ht="21.75" customHeight="1">
      <c r="A13" s="62" t="s">
        <v>201</v>
      </c>
      <c r="B13" s="112">
        <f>SUM('基金用途明細表'!B15,'基金用途明細表'!B52)</f>
        <v>73255000</v>
      </c>
      <c r="C13" s="112">
        <f>SUM('基金用途明細表'!C15,'基金用途明細表'!C52)</f>
        <v>71636223</v>
      </c>
      <c r="D13" s="112">
        <f t="shared" si="0"/>
        <v>-1618777</v>
      </c>
      <c r="E13" s="68">
        <f t="shared" si="1"/>
        <v>2.209783632516552</v>
      </c>
    </row>
    <row r="14" spans="1:5" s="99" customFormat="1" ht="21.75" customHeight="1">
      <c r="A14" s="69" t="s">
        <v>202</v>
      </c>
      <c r="B14" s="113">
        <f>SUM(B15:B23)</f>
        <v>313108000</v>
      </c>
      <c r="C14" s="155">
        <f>SUM(C15:C23)</f>
        <v>283252602</v>
      </c>
      <c r="D14" s="113">
        <f t="shared" si="0"/>
        <v>-29855398</v>
      </c>
      <c r="E14" s="89">
        <f t="shared" si="1"/>
        <v>9.535175722115053</v>
      </c>
    </row>
    <row r="15" spans="1:5" ht="21.75" customHeight="1">
      <c r="A15" s="62" t="s">
        <v>203</v>
      </c>
      <c r="B15" s="112">
        <f>SUM('基金用途明細表'!B17,'基金用途明細表'!B73)</f>
        <v>48238000</v>
      </c>
      <c r="C15" s="112">
        <f>SUM('基金用途明細表'!C17,'基金用途明細表'!C73)</f>
        <v>42768553</v>
      </c>
      <c r="D15" s="112">
        <f t="shared" si="0"/>
        <v>-5469447</v>
      </c>
      <c r="E15" s="68">
        <f t="shared" si="1"/>
        <v>11.338461378995813</v>
      </c>
    </row>
    <row r="16" spans="1:5" ht="21.75" customHeight="1">
      <c r="A16" s="62" t="s">
        <v>204</v>
      </c>
      <c r="B16" s="112">
        <f>SUM('基金用途明細表'!B18,'基金用途明細表'!B74)</f>
        <v>5971000</v>
      </c>
      <c r="C16" s="112">
        <f>SUM('基金用途明細表'!C18,'基金用途明細表'!C74)</f>
        <v>4572819</v>
      </c>
      <c r="D16" s="112">
        <f t="shared" si="0"/>
        <v>-1398181</v>
      </c>
      <c r="E16" s="68">
        <f t="shared" si="1"/>
        <v>23.416194942220734</v>
      </c>
    </row>
    <row r="17" spans="1:5" ht="21.75" customHeight="1">
      <c r="A17" s="62" t="s">
        <v>205</v>
      </c>
      <c r="B17" s="112">
        <f>SUM('基金用途明細表'!B19,'基金用途明細表'!B75)</f>
        <v>12502000</v>
      </c>
      <c r="C17" s="112">
        <f>SUM('基金用途明細表'!C19,'基金用途明細表'!C75)</f>
        <v>11100192</v>
      </c>
      <c r="D17" s="112">
        <f t="shared" si="0"/>
        <v>-1401808</v>
      </c>
      <c r="E17" s="68">
        <f t="shared" si="1"/>
        <v>11.21266997280435</v>
      </c>
    </row>
    <row r="18" spans="1:5" ht="21.75" customHeight="1">
      <c r="A18" s="62" t="s">
        <v>206</v>
      </c>
      <c r="B18" s="112">
        <f>SUM('基金用途明細表'!B20,'基金用途明細表'!B76)</f>
        <v>2634000</v>
      </c>
      <c r="C18" s="112">
        <f>SUM('基金用途明細表'!C20,'基金用途明細表'!C76)</f>
        <v>2008056</v>
      </c>
      <c r="D18" s="112">
        <f t="shared" si="0"/>
        <v>-625944</v>
      </c>
      <c r="E18" s="68">
        <f t="shared" si="1"/>
        <v>23.764009111617312</v>
      </c>
    </row>
    <row r="19" spans="1:5" ht="21.75" customHeight="1">
      <c r="A19" s="62" t="s">
        <v>207</v>
      </c>
      <c r="B19" s="112">
        <f>SUM('基金用途明細表'!B21)</f>
        <v>36580000</v>
      </c>
      <c r="C19" s="112">
        <f>SUM('基金用途明細表'!C21)</f>
        <v>32144334</v>
      </c>
      <c r="D19" s="112">
        <f t="shared" si="0"/>
        <v>-4435666</v>
      </c>
      <c r="E19" s="68">
        <f t="shared" si="1"/>
        <v>12.12593220338983</v>
      </c>
    </row>
    <row r="20" spans="1:5" ht="21.75" customHeight="1">
      <c r="A20" s="62" t="s">
        <v>208</v>
      </c>
      <c r="B20" s="112">
        <f>SUM('基金用途明細表'!B22,'基金用途明細表'!B54)</f>
        <v>1812000</v>
      </c>
      <c r="C20" s="112">
        <f>SUM('基金用途明細表'!C22,'基金用途明細表'!C54)</f>
        <v>1151271</v>
      </c>
      <c r="D20" s="112">
        <f t="shared" si="0"/>
        <v>-660729</v>
      </c>
      <c r="E20" s="68">
        <f t="shared" si="1"/>
        <v>36.464072847682125</v>
      </c>
    </row>
    <row r="21" spans="1:5" ht="21.75" customHeight="1">
      <c r="A21" s="63" t="s">
        <v>209</v>
      </c>
      <c r="B21" s="112">
        <f>SUM('基金用途明細表'!B23,'基金用途明細表'!B77)</f>
        <v>171437000</v>
      </c>
      <c r="C21" s="112">
        <f>SUM('基金用途明細表'!C23,'基金用途明細表'!C77)</f>
        <v>161678120</v>
      </c>
      <c r="D21" s="112">
        <f t="shared" si="0"/>
        <v>-9758880</v>
      </c>
      <c r="E21" s="68">
        <f t="shared" si="1"/>
        <v>5.692400123660587</v>
      </c>
    </row>
    <row r="22" spans="1:5" ht="21.75" customHeight="1">
      <c r="A22" s="62" t="s">
        <v>210</v>
      </c>
      <c r="B22" s="112">
        <f>SUM('基金用途明細表'!B24,'基金用途明細表'!B55,'基金用途明細表'!B78)</f>
        <v>32338000</v>
      </c>
      <c r="C22" s="112">
        <f>SUM('基金用途明細表'!C24,'基金用途明細表'!C55,'基金用途明細表'!C78)</f>
        <v>26235448</v>
      </c>
      <c r="D22" s="112">
        <f t="shared" si="0"/>
        <v>-6102552</v>
      </c>
      <c r="E22" s="68">
        <f t="shared" si="1"/>
        <v>18.87114849403179</v>
      </c>
    </row>
    <row r="23" spans="1:5" ht="21.75" customHeight="1">
      <c r="A23" s="62" t="s">
        <v>211</v>
      </c>
      <c r="B23" s="112">
        <f>SUM('基金用途明細表'!B25)</f>
        <v>1596000</v>
      </c>
      <c r="C23" s="112">
        <f>SUM('基金用途明細表'!C25)</f>
        <v>1593809</v>
      </c>
      <c r="D23" s="112">
        <f t="shared" si="0"/>
        <v>-2191</v>
      </c>
      <c r="E23" s="68">
        <f t="shared" si="1"/>
        <v>0.13728070175438595</v>
      </c>
    </row>
    <row r="24" spans="1:5" s="99" customFormat="1" ht="21.75" customHeight="1">
      <c r="A24" s="69" t="s">
        <v>212</v>
      </c>
      <c r="B24" s="113">
        <f>SUM(B25:B26)</f>
        <v>231664000</v>
      </c>
      <c r="C24" s="155">
        <f>SUM(C25:C26)</f>
        <v>206487817</v>
      </c>
      <c r="D24" s="113">
        <f t="shared" si="0"/>
        <v>-25176183</v>
      </c>
      <c r="E24" s="89">
        <f t="shared" si="1"/>
        <v>10.86754221631328</v>
      </c>
    </row>
    <row r="25" spans="1:5" ht="21.75" customHeight="1">
      <c r="A25" s="62" t="s">
        <v>213</v>
      </c>
      <c r="B25" s="112">
        <f>SUM('基金用途明細表'!B27)</f>
        <v>10749000</v>
      </c>
      <c r="C25" s="112">
        <f>SUM('基金用途明細表'!C27)</f>
        <v>8024065</v>
      </c>
      <c r="D25" s="112">
        <f t="shared" si="0"/>
        <v>-2724935</v>
      </c>
      <c r="E25" s="68">
        <f t="shared" si="1"/>
        <v>25.35059075262815</v>
      </c>
    </row>
    <row r="26" spans="1:5" ht="21.75" customHeight="1">
      <c r="A26" s="62" t="s">
        <v>214</v>
      </c>
      <c r="B26" s="112">
        <f>SUM('基金用途明細表'!B28,'基金用途明細表'!B57,'基金用途明細表'!B80)</f>
        <v>220915000</v>
      </c>
      <c r="C26" s="112">
        <f>SUM('基金用途明細表'!C28,'基金用途明細表'!C57,'基金用途明細表'!C80)</f>
        <v>198463752</v>
      </c>
      <c r="D26" s="112">
        <f t="shared" si="0"/>
        <v>-22451248</v>
      </c>
      <c r="E26" s="68">
        <f t="shared" si="1"/>
        <v>10.162844532965169</v>
      </c>
    </row>
    <row r="27" spans="1:5" s="99" customFormat="1" ht="21.75" customHeight="1">
      <c r="A27" s="69" t="s">
        <v>215</v>
      </c>
      <c r="B27" s="113">
        <f>SUM(B28:B32)</f>
        <v>3284000</v>
      </c>
      <c r="C27" s="155">
        <f>SUM(C28:C32)</f>
        <v>2832856</v>
      </c>
      <c r="D27" s="113">
        <f t="shared" si="0"/>
        <v>-451144</v>
      </c>
      <c r="E27" s="89">
        <f t="shared" si="1"/>
        <v>13.737637028014616</v>
      </c>
    </row>
    <row r="28" spans="1:5" ht="21.75" customHeight="1">
      <c r="A28" s="62" t="s">
        <v>216</v>
      </c>
      <c r="B28" s="112">
        <f>SUM('基金用途明細表'!B30)</f>
        <v>800000</v>
      </c>
      <c r="C28" s="112">
        <f>SUM('基金用途明細表'!C30)</f>
        <v>787996</v>
      </c>
      <c r="D28" s="112">
        <f t="shared" si="0"/>
        <v>-12004</v>
      </c>
      <c r="E28" s="68">
        <f t="shared" si="1"/>
        <v>1.5005</v>
      </c>
    </row>
    <row r="29" spans="1:5" ht="21.75" customHeight="1">
      <c r="A29" s="62" t="s">
        <v>217</v>
      </c>
      <c r="B29" s="112">
        <f>SUM('基金用途明細表'!B31)</f>
        <v>180000</v>
      </c>
      <c r="C29" s="112">
        <f>SUM('基金用途明細表'!C31)</f>
        <v>120000</v>
      </c>
      <c r="D29" s="112">
        <f t="shared" si="0"/>
        <v>-60000</v>
      </c>
      <c r="E29" s="68">
        <f t="shared" si="1"/>
        <v>33.33333333333333</v>
      </c>
    </row>
    <row r="30" spans="1:5" ht="21.75" customHeight="1">
      <c r="A30" s="62" t="s">
        <v>218</v>
      </c>
      <c r="B30" s="112">
        <f>SUM('基金用途明細表'!B32)</f>
        <v>1358000</v>
      </c>
      <c r="C30" s="112">
        <f>SUM('基金用途明細表'!C32)</f>
        <v>1089778</v>
      </c>
      <c r="D30" s="112">
        <f t="shared" si="0"/>
        <v>-268222</v>
      </c>
      <c r="E30" s="68">
        <f t="shared" si="1"/>
        <v>19.75125184094256</v>
      </c>
    </row>
    <row r="31" spans="1:5" ht="21.75" customHeight="1">
      <c r="A31" s="62" t="s">
        <v>219</v>
      </c>
      <c r="B31" s="112">
        <f>SUM('基金用途明細表'!B33)</f>
        <v>670000</v>
      </c>
      <c r="C31" s="112">
        <f>SUM('基金用途明細表'!C33)</f>
        <v>634400</v>
      </c>
      <c r="D31" s="112">
        <f t="shared" si="0"/>
        <v>-35600</v>
      </c>
      <c r="E31" s="68">
        <f t="shared" si="1"/>
        <v>5.313432835820896</v>
      </c>
    </row>
    <row r="32" spans="1:5" ht="21.75" customHeight="1">
      <c r="A32" s="62" t="s">
        <v>220</v>
      </c>
      <c r="B32" s="112">
        <f>SUM('基金用途明細表'!B34)</f>
        <v>276000</v>
      </c>
      <c r="C32" s="112">
        <f>SUM('基金用途明細表'!C34)</f>
        <v>200682</v>
      </c>
      <c r="D32" s="112">
        <f t="shared" si="0"/>
        <v>-75318</v>
      </c>
      <c r="E32" s="68">
        <f t="shared" si="1"/>
        <v>27.28913043478261</v>
      </c>
    </row>
    <row r="33" spans="1:5" s="99" customFormat="1" ht="45.75" customHeight="1">
      <c r="A33" s="83" t="s">
        <v>324</v>
      </c>
      <c r="B33" s="113">
        <f>SUM(B34:B35)</f>
        <v>184494000</v>
      </c>
      <c r="C33" s="155">
        <f>SUM(C34:C35)</f>
        <v>57398249</v>
      </c>
      <c r="D33" s="113">
        <f t="shared" si="0"/>
        <v>-127095751</v>
      </c>
      <c r="E33" s="89">
        <f t="shared" si="1"/>
        <v>68.8888261948898</v>
      </c>
    </row>
    <row r="34" spans="1:5" ht="21.75" customHeight="1">
      <c r="A34" s="62" t="s">
        <v>221</v>
      </c>
      <c r="B34" s="112">
        <f>SUM('基金用途明細表'!B36,'基金用途明細表'!B65,'基金用途明細表'!B68,'基金用途明細表'!B82)</f>
        <v>184494000</v>
      </c>
      <c r="C34" s="112">
        <f>SUM('基金用途明細表'!C36,'基金用途明細表'!C65,'基金用途明細表'!C68,'基金用途明細表'!C82)</f>
        <v>57398249</v>
      </c>
      <c r="D34" s="112">
        <f t="shared" si="0"/>
        <v>-127095751</v>
      </c>
      <c r="E34" s="68">
        <f t="shared" si="1"/>
        <v>68.8888261948898</v>
      </c>
    </row>
    <row r="35" spans="1:5" ht="21.75" customHeight="1" hidden="1">
      <c r="A35" s="62" t="s">
        <v>222</v>
      </c>
      <c r="B35" s="112">
        <f>SUM('基金用途明細表'!B37)</f>
        <v>0</v>
      </c>
      <c r="C35" s="112">
        <f>SUM('基金用途明細表'!C37)</f>
        <v>0</v>
      </c>
      <c r="D35" s="112">
        <f t="shared" si="0"/>
        <v>0</v>
      </c>
      <c r="E35" s="68" t="e">
        <f t="shared" si="1"/>
        <v>#DIV/0!</v>
      </c>
    </row>
    <row r="36" spans="1:5" ht="21.75" customHeight="1">
      <c r="A36" s="69" t="s">
        <v>223</v>
      </c>
      <c r="B36" s="113">
        <f>SUM(B37:B38)</f>
        <v>1244000</v>
      </c>
      <c r="C36" s="113">
        <f>SUM(C37:C38)</f>
        <v>943743</v>
      </c>
      <c r="D36" s="113">
        <f t="shared" si="0"/>
        <v>-300257</v>
      </c>
      <c r="E36" s="68">
        <f t="shared" si="1"/>
        <v>24.136414790996785</v>
      </c>
    </row>
    <row r="37" spans="1:5" ht="21.75" customHeight="1">
      <c r="A37" s="62" t="s">
        <v>224</v>
      </c>
      <c r="B37" s="112">
        <f>SUM('基金用途明細表'!B39)</f>
        <v>456000</v>
      </c>
      <c r="C37" s="112">
        <f>SUM('基金用途明細表'!C39)</f>
        <v>397399</v>
      </c>
      <c r="D37" s="112">
        <f t="shared" si="0"/>
        <v>-58601</v>
      </c>
      <c r="E37" s="68">
        <f t="shared" si="1"/>
        <v>12.85109649122807</v>
      </c>
    </row>
    <row r="38" spans="1:5" ht="21.75" customHeight="1">
      <c r="A38" s="62" t="s">
        <v>225</v>
      </c>
      <c r="B38" s="112">
        <f>SUM('基金用途明細表'!B40)</f>
        <v>788000</v>
      </c>
      <c r="C38" s="112">
        <f>SUM('基金用途明細表'!C40)</f>
        <v>546344</v>
      </c>
      <c r="D38" s="112">
        <f t="shared" si="0"/>
        <v>-241656</v>
      </c>
      <c r="E38" s="68">
        <f t="shared" si="1"/>
        <v>30.667005076142136</v>
      </c>
    </row>
    <row r="39" spans="1:5" s="99" customFormat="1" ht="49.5" customHeight="1" thickBot="1">
      <c r="A39" s="153" t="s">
        <v>226</v>
      </c>
      <c r="B39" s="156">
        <f>SUM(B40:B42)</f>
        <v>1286309000</v>
      </c>
      <c r="C39" s="183">
        <f>SUM(C40:C42)</f>
        <v>1066747907</v>
      </c>
      <c r="D39" s="156">
        <f t="shared" si="0"/>
        <v>-219561093</v>
      </c>
      <c r="E39" s="91">
        <f t="shared" si="1"/>
        <v>17.069078502910266</v>
      </c>
    </row>
    <row r="40" spans="1:5" ht="21.75" customHeight="1">
      <c r="A40" s="152" t="s">
        <v>227</v>
      </c>
      <c r="B40" s="184">
        <f>SUM('基金用途明細表'!B42,'基金用途明細表'!B59)</f>
        <v>195000</v>
      </c>
      <c r="C40" s="184">
        <f>SUM('基金用途明細表'!C42,'基金用途明細表'!C59)</f>
        <v>172000</v>
      </c>
      <c r="D40" s="184">
        <f t="shared" si="0"/>
        <v>-23000</v>
      </c>
      <c r="E40" s="68">
        <f t="shared" si="1"/>
        <v>11.794871794871794</v>
      </c>
    </row>
    <row r="41" spans="1:7" ht="21.75" customHeight="1">
      <c r="A41" s="62" t="s">
        <v>228</v>
      </c>
      <c r="B41" s="112">
        <f>SUM('基金用途明細表'!B43,'基金用途明細表'!B62)</f>
        <v>1280549000</v>
      </c>
      <c r="C41" s="112">
        <f>SUM('基金用途明細表'!C43,'基金用途明細表'!C62)</f>
        <v>1061251978</v>
      </c>
      <c r="D41" s="112">
        <f t="shared" si="0"/>
        <v>-219297022</v>
      </c>
      <c r="E41" s="68">
        <f t="shared" si="1"/>
        <v>17.125234723544356</v>
      </c>
      <c r="G41" s="145"/>
    </row>
    <row r="42" spans="1:5" ht="44.25" customHeight="1">
      <c r="A42" s="63" t="s">
        <v>322</v>
      </c>
      <c r="B42" s="112">
        <f>SUM('基金用途明細表'!B44)</f>
        <v>5565000</v>
      </c>
      <c r="C42" s="112">
        <f>SUM('基金用途明細表'!C44)</f>
        <v>5323929</v>
      </c>
      <c r="D42" s="112">
        <f t="shared" si="0"/>
        <v>-241071</v>
      </c>
      <c r="E42" s="68">
        <f t="shared" si="1"/>
        <v>4.331913746630728</v>
      </c>
    </row>
    <row r="43" spans="1:5" s="99" customFormat="1" ht="21.75" customHeight="1">
      <c r="A43" s="69" t="s">
        <v>229</v>
      </c>
      <c r="B43" s="113">
        <f>SUM(B44)</f>
        <v>15432000</v>
      </c>
      <c r="C43" s="155">
        <f>SUM(C44)</f>
        <v>12587900</v>
      </c>
      <c r="D43" s="113">
        <f t="shared" si="0"/>
        <v>-2844100</v>
      </c>
      <c r="E43" s="89">
        <f t="shared" si="1"/>
        <v>18.42988595127009</v>
      </c>
    </row>
    <row r="44" spans="1:5" ht="21.75" customHeight="1">
      <c r="A44" s="62" t="s">
        <v>230</v>
      </c>
      <c r="B44" s="112">
        <f>SUM('基金用途明細表'!B46,'基金用途明細表'!B84)</f>
        <v>15432000</v>
      </c>
      <c r="C44" s="112">
        <f>SUM('基金用途明細表'!C46,'基金用途明細表'!C84)</f>
        <v>12587900</v>
      </c>
      <c r="D44" s="112">
        <f t="shared" si="0"/>
        <v>-2844100</v>
      </c>
      <c r="E44" s="68">
        <f t="shared" si="1"/>
        <v>18.42988595127009</v>
      </c>
    </row>
    <row r="45" spans="1:5" ht="21.75" customHeight="1">
      <c r="A45" s="62"/>
      <c r="B45" s="112"/>
      <c r="C45" s="141"/>
      <c r="D45" s="112"/>
      <c r="E45" s="68"/>
    </row>
    <row r="46" spans="1:5" ht="21.75" customHeight="1">
      <c r="A46" s="62"/>
      <c r="B46" s="112"/>
      <c r="C46" s="141"/>
      <c r="D46" s="112"/>
      <c r="E46" s="68"/>
    </row>
    <row r="47" spans="1:5" ht="21.75" customHeight="1">
      <c r="A47" s="62"/>
      <c r="B47" s="112"/>
      <c r="C47" s="141"/>
      <c r="D47" s="112"/>
      <c r="E47" s="68"/>
    </row>
    <row r="48" spans="1:5" ht="21.75" customHeight="1">
      <c r="A48" s="62"/>
      <c r="B48" s="112"/>
      <c r="C48" s="141"/>
      <c r="D48" s="112"/>
      <c r="E48" s="68"/>
    </row>
    <row r="49" spans="1:5" ht="21.75" customHeight="1">
      <c r="A49" s="62"/>
      <c r="B49" s="112"/>
      <c r="C49" s="141"/>
      <c r="D49" s="112"/>
      <c r="E49" s="68"/>
    </row>
    <row r="50" spans="1:5" ht="21.75" customHeight="1">
      <c r="A50" s="62"/>
      <c r="B50" s="112"/>
      <c r="C50" s="141"/>
      <c r="D50" s="112"/>
      <c r="E50" s="68"/>
    </row>
    <row r="51" spans="1:5" ht="21.75" customHeight="1">
      <c r="A51" s="62"/>
      <c r="B51" s="112"/>
      <c r="C51" s="141"/>
      <c r="D51" s="112"/>
      <c r="E51" s="68"/>
    </row>
    <row r="52" spans="1:5" ht="21.75" customHeight="1">
      <c r="A52" s="62"/>
      <c r="B52" s="112"/>
      <c r="C52" s="141"/>
      <c r="D52" s="112"/>
      <c r="E52" s="68"/>
    </row>
    <row r="53" spans="1:5" ht="21.75" customHeight="1">
      <c r="A53" s="62"/>
      <c r="B53" s="112"/>
      <c r="C53" s="141"/>
      <c r="D53" s="112"/>
      <c r="E53" s="68"/>
    </row>
    <row r="54" spans="1:5" ht="21.75" customHeight="1">
      <c r="A54" s="62"/>
      <c r="B54" s="112"/>
      <c r="C54" s="141"/>
      <c r="D54" s="112"/>
      <c r="E54" s="68"/>
    </row>
    <row r="55" spans="1:5" ht="21.75" customHeight="1">
      <c r="A55" s="62"/>
      <c r="B55" s="112"/>
      <c r="C55" s="141"/>
      <c r="D55" s="112"/>
      <c r="E55" s="68"/>
    </row>
    <row r="56" spans="1:5" ht="21.75" customHeight="1">
      <c r="A56" s="62"/>
      <c r="B56" s="112"/>
      <c r="C56" s="141"/>
      <c r="D56" s="112"/>
      <c r="E56" s="68"/>
    </row>
    <row r="57" spans="1:5" ht="21.75" customHeight="1">
      <c r="A57" s="62"/>
      <c r="B57" s="112"/>
      <c r="C57" s="141"/>
      <c r="D57" s="112"/>
      <c r="E57" s="68"/>
    </row>
    <row r="58" spans="1:5" ht="21.75" customHeight="1">
      <c r="A58" s="62"/>
      <c r="B58" s="112"/>
      <c r="C58" s="141"/>
      <c r="D58" s="112"/>
      <c r="E58" s="68"/>
    </row>
    <row r="59" spans="1:5" ht="21.75" customHeight="1">
      <c r="A59" s="62"/>
      <c r="B59" s="112"/>
      <c r="C59" s="141"/>
      <c r="D59" s="112"/>
      <c r="E59" s="68"/>
    </row>
    <row r="60" spans="1:5" ht="21.75" customHeight="1">
      <c r="A60" s="62"/>
      <c r="B60" s="112"/>
      <c r="C60" s="141"/>
      <c r="D60" s="112"/>
      <c r="E60" s="68"/>
    </row>
    <row r="61" spans="1:5" ht="21.75" customHeight="1">
      <c r="A61" s="62"/>
      <c r="B61" s="112"/>
      <c r="C61" s="141"/>
      <c r="D61" s="112"/>
      <c r="E61" s="68"/>
    </row>
    <row r="62" spans="1:5" ht="21.75" customHeight="1">
      <c r="A62" s="62"/>
      <c r="B62" s="112"/>
      <c r="C62" s="141"/>
      <c r="D62" s="112"/>
      <c r="E62" s="68"/>
    </row>
    <row r="63" spans="1:5" ht="21.75" customHeight="1">
      <c r="A63" s="62"/>
      <c r="B63" s="112"/>
      <c r="C63" s="141"/>
      <c r="D63" s="112"/>
      <c r="E63" s="68"/>
    </row>
    <row r="64" spans="1:5" ht="21.75" customHeight="1">
      <c r="A64" s="62"/>
      <c r="B64" s="112"/>
      <c r="C64" s="141"/>
      <c r="D64" s="112"/>
      <c r="E64" s="68"/>
    </row>
    <row r="65" spans="1:5" ht="21.75" customHeight="1">
      <c r="A65" s="62"/>
      <c r="B65" s="112"/>
      <c r="C65" s="141"/>
      <c r="D65" s="112"/>
      <c r="E65" s="68"/>
    </row>
    <row r="66" spans="1:5" ht="21.75" customHeight="1">
      <c r="A66" s="62"/>
      <c r="B66" s="112"/>
      <c r="C66" s="141"/>
      <c r="D66" s="112"/>
      <c r="E66" s="68"/>
    </row>
    <row r="67" spans="1:5" ht="21.75" customHeight="1">
      <c r="A67" s="62"/>
      <c r="B67" s="112"/>
      <c r="C67" s="141"/>
      <c r="D67" s="112"/>
      <c r="E67" s="68"/>
    </row>
    <row r="68" spans="1:5" ht="21.75" customHeight="1">
      <c r="A68" s="62"/>
      <c r="B68" s="112"/>
      <c r="C68" s="141"/>
      <c r="D68" s="112"/>
      <c r="E68" s="68"/>
    </row>
    <row r="69" spans="1:5" ht="9.75" customHeight="1">
      <c r="A69" s="62"/>
      <c r="B69" s="112"/>
      <c r="C69" s="141"/>
      <c r="D69" s="112"/>
      <c r="E69" s="68"/>
    </row>
    <row r="70" spans="1:5" ht="15.75" customHeight="1">
      <c r="A70" s="62"/>
      <c r="B70" s="112"/>
      <c r="C70" s="141"/>
      <c r="D70" s="112"/>
      <c r="E70" s="68"/>
    </row>
    <row r="71" spans="1:5" ht="19.5" customHeight="1">
      <c r="A71" s="62"/>
      <c r="B71" s="112"/>
      <c r="C71" s="141"/>
      <c r="D71" s="112"/>
      <c r="E71" s="68"/>
    </row>
    <row r="72" spans="1:5" ht="12" customHeight="1" hidden="1">
      <c r="A72" s="62"/>
      <c r="B72" s="112"/>
      <c r="C72" s="141"/>
      <c r="D72" s="112"/>
      <c r="E72" s="68"/>
    </row>
    <row r="73" spans="1:5" ht="12.75" customHeight="1" hidden="1">
      <c r="A73" s="62"/>
      <c r="B73" s="112"/>
      <c r="C73" s="141"/>
      <c r="D73" s="112"/>
      <c r="E73" s="68"/>
    </row>
    <row r="74" spans="1:5" ht="27" customHeight="1">
      <c r="A74" s="62"/>
      <c r="B74" s="112"/>
      <c r="C74" s="141"/>
      <c r="D74" s="112"/>
      <c r="E74" s="68"/>
    </row>
    <row r="75" spans="1:5" s="99" customFormat="1" ht="22.5" customHeight="1" thickBot="1">
      <c r="A75" s="90" t="s">
        <v>231</v>
      </c>
      <c r="B75" s="156">
        <f>B7+B14+B24+B27+B39+B43+B33+B36</f>
        <v>2913216000</v>
      </c>
      <c r="C75" s="156">
        <f>C7+C14+C24+C27+C39+C43+C33+C36</f>
        <v>2473660042</v>
      </c>
      <c r="D75" s="156">
        <f>C75-B75</f>
        <v>-439555958</v>
      </c>
      <c r="E75" s="91">
        <f>ABS(D75/B75*100)</f>
        <v>15.088340789011182</v>
      </c>
    </row>
  </sheetData>
  <mergeCells count="8">
    <mergeCell ref="A5:A6"/>
    <mergeCell ref="B5:B6"/>
    <mergeCell ref="C5:C6"/>
    <mergeCell ref="D5:E5"/>
    <mergeCell ref="A4:E4"/>
    <mergeCell ref="A1:E1"/>
    <mergeCell ref="A2:E2"/>
    <mergeCell ref="A3:E3"/>
  </mergeCells>
  <printOptions horizontalCentered="1"/>
  <pageMargins left="0.15748031496062992" right="0.15748031496062992" top="0.5905511811023623" bottom="0.7874015748031497" header="0.5118110236220472" footer="0.31496062992125984"/>
  <pageSetup firstPageNumber="24" useFirstPageNumber="1" horizontalDpi="600" verticalDpi="600" orientation="portrait" paperSize="9" scale="85" r:id="rId1"/>
  <headerFooter alignWithMargins="0">
    <oddFooter>&amp;C&amp;14-&amp;P--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4"/>
  </sheetPr>
  <dimension ref="A1:F41"/>
  <sheetViews>
    <sheetView zoomScale="75" zoomScaleNormal="75" workbookViewId="0" topLeftCell="A1">
      <pane xSplit="1" ySplit="6" topLeftCell="B7" activePane="bottomRight" state="frozen"/>
      <selection pane="topLeft" activeCell="A3" sqref="A3:E3"/>
      <selection pane="topRight" activeCell="A3" sqref="A3:E3"/>
      <selection pane="bottomLeft" activeCell="A3" sqref="A3:E3"/>
      <selection pane="bottomRight" activeCell="B40" sqref="B40"/>
    </sheetView>
  </sheetViews>
  <sheetFormatPr defaultColWidth="9.00390625" defaultRowHeight="25.5" customHeight="1"/>
  <cols>
    <col min="1" max="1" width="44.375" style="7" customWidth="1"/>
    <col min="2" max="2" width="19.75390625" style="7" customWidth="1"/>
    <col min="3" max="3" width="19.875" style="7" customWidth="1"/>
    <col min="4" max="4" width="19.00390625" style="7" customWidth="1"/>
    <col min="5" max="5" width="10.50390625" style="7" customWidth="1"/>
    <col min="6" max="6" width="10.875" style="7" customWidth="1"/>
    <col min="7" max="16384" width="9.00390625" style="7" customWidth="1"/>
  </cols>
  <sheetData>
    <row r="1" spans="1:6" s="9" customFormat="1" ht="25.5">
      <c r="A1" s="233" t="s">
        <v>176</v>
      </c>
      <c r="B1" s="233"/>
      <c r="C1" s="233"/>
      <c r="D1" s="233"/>
      <c r="E1" s="233"/>
      <c r="F1" s="233"/>
    </row>
    <row r="2" spans="1:6" s="4" customFormat="1" ht="27.75">
      <c r="A2" s="221" t="s">
        <v>232</v>
      </c>
      <c r="B2" s="221"/>
      <c r="C2" s="221"/>
      <c r="D2" s="221"/>
      <c r="E2" s="221"/>
      <c r="F2" s="221"/>
    </row>
    <row r="3" spans="1:6" ht="19.5">
      <c r="A3" s="223" t="s">
        <v>337</v>
      </c>
      <c r="B3" s="223"/>
      <c r="C3" s="223"/>
      <c r="D3" s="223"/>
      <c r="E3" s="223"/>
      <c r="F3" s="223"/>
    </row>
    <row r="4" spans="1:6" ht="20.25" thickBot="1">
      <c r="A4" s="210" t="s">
        <v>233</v>
      </c>
      <c r="B4" s="210"/>
      <c r="C4" s="210"/>
      <c r="D4" s="210"/>
      <c r="E4" s="210"/>
      <c r="F4" s="210"/>
    </row>
    <row r="5" spans="1:6" s="11" customFormat="1" ht="38.25" customHeight="1">
      <c r="A5" s="199" t="s">
        <v>234</v>
      </c>
      <c r="B5" s="203" t="s">
        <v>180</v>
      </c>
      <c r="C5" s="203" t="s">
        <v>181</v>
      </c>
      <c r="D5" s="201" t="s">
        <v>182</v>
      </c>
      <c r="E5" s="201"/>
      <c r="F5" s="274" t="s">
        <v>183</v>
      </c>
    </row>
    <row r="6" spans="1:6" s="11" customFormat="1" ht="41.25" customHeight="1">
      <c r="A6" s="200"/>
      <c r="B6" s="204"/>
      <c r="C6" s="204"/>
      <c r="D6" s="10" t="s">
        <v>235</v>
      </c>
      <c r="E6" s="10" t="s">
        <v>186</v>
      </c>
      <c r="F6" s="254"/>
    </row>
    <row r="7" spans="1:6" s="36" customFormat="1" ht="25.5" customHeight="1">
      <c r="A7" s="66" t="s">
        <v>236</v>
      </c>
      <c r="B7" s="113"/>
      <c r="C7" s="113"/>
      <c r="D7" s="111"/>
      <c r="E7" s="75"/>
      <c r="F7" s="100"/>
    </row>
    <row r="8" spans="1:6" ht="24" customHeight="1">
      <c r="A8" s="62" t="s">
        <v>237</v>
      </c>
      <c r="B8" s="112">
        <v>0</v>
      </c>
      <c r="C8" s="112">
        <v>0</v>
      </c>
      <c r="D8" s="112">
        <f aca="true" t="shared" si="0" ref="D8:D41">C8-B8</f>
        <v>0</v>
      </c>
      <c r="E8" s="112"/>
      <c r="F8" s="101"/>
    </row>
    <row r="9" spans="1:6" ht="24" customHeight="1">
      <c r="A9" s="62" t="s">
        <v>238</v>
      </c>
      <c r="B9" s="112">
        <v>0</v>
      </c>
      <c r="C9" s="112">
        <v>0</v>
      </c>
      <c r="D9" s="112">
        <f t="shared" si="0"/>
        <v>0</v>
      </c>
      <c r="E9" s="112"/>
      <c r="F9" s="101"/>
    </row>
    <row r="10" spans="1:6" ht="24" customHeight="1">
      <c r="A10" s="62" t="s">
        <v>239</v>
      </c>
      <c r="B10" s="112">
        <v>0</v>
      </c>
      <c r="C10" s="112">
        <v>0</v>
      </c>
      <c r="D10" s="112">
        <f t="shared" si="0"/>
        <v>0</v>
      </c>
      <c r="E10" s="112"/>
      <c r="F10" s="102"/>
    </row>
    <row r="11" spans="1:6" ht="24" customHeight="1">
      <c r="A11" s="62" t="s">
        <v>93</v>
      </c>
      <c r="B11" s="112">
        <v>1596000</v>
      </c>
      <c r="C11" s="112">
        <v>1593809</v>
      </c>
      <c r="D11" s="112">
        <f t="shared" si="0"/>
        <v>-2191</v>
      </c>
      <c r="E11" s="19">
        <f>ABS(D11/B11*100)</f>
        <v>0.13728070175438595</v>
      </c>
      <c r="F11" s="101"/>
    </row>
    <row r="12" spans="1:6" s="36" customFormat="1" ht="26.25" customHeight="1">
      <c r="A12" s="69" t="s">
        <v>240</v>
      </c>
      <c r="B12" s="113"/>
      <c r="C12" s="113"/>
      <c r="D12" s="113"/>
      <c r="E12" s="79"/>
      <c r="F12" s="103"/>
    </row>
    <row r="13" spans="1:6" ht="24" customHeight="1">
      <c r="A13" s="62" t="s">
        <v>241</v>
      </c>
      <c r="B13" s="112">
        <v>7000</v>
      </c>
      <c r="C13" s="112">
        <v>2263</v>
      </c>
      <c r="D13" s="112">
        <f t="shared" si="0"/>
        <v>-4737</v>
      </c>
      <c r="E13" s="19">
        <f>ABS(D13/B13*100)</f>
        <v>67.67142857142858</v>
      </c>
      <c r="F13" s="101"/>
    </row>
    <row r="14" spans="1:6" ht="24" customHeight="1">
      <c r="A14" s="63" t="s">
        <v>242</v>
      </c>
      <c r="B14" s="112">
        <v>3000</v>
      </c>
      <c r="C14" s="112">
        <v>460</v>
      </c>
      <c r="D14" s="112">
        <f t="shared" si="0"/>
        <v>-2540</v>
      </c>
      <c r="E14" s="19">
        <f>ABS(D14/B14*100)</f>
        <v>84.66666666666667</v>
      </c>
      <c r="F14" s="101"/>
    </row>
    <row r="15" spans="1:6" ht="24" customHeight="1">
      <c r="A15" s="63" t="s">
        <v>243</v>
      </c>
      <c r="B15" s="112">
        <v>5725000</v>
      </c>
      <c r="C15" s="112">
        <v>5321701</v>
      </c>
      <c r="D15" s="112">
        <f t="shared" si="0"/>
        <v>-403299</v>
      </c>
      <c r="E15" s="19">
        <f>ABS(D15/B15*100)</f>
        <v>7.044524017467249</v>
      </c>
      <c r="F15" s="101"/>
    </row>
    <row r="16" spans="1:6" ht="24" customHeight="1">
      <c r="A16" s="63" t="s">
        <v>244</v>
      </c>
      <c r="B16" s="112">
        <v>439000</v>
      </c>
      <c r="C16" s="112">
        <v>185389</v>
      </c>
      <c r="D16" s="112">
        <f t="shared" si="0"/>
        <v>-253611</v>
      </c>
      <c r="E16" s="19">
        <f>ABS(D16/B16*100)</f>
        <v>57.77015945330296</v>
      </c>
      <c r="F16" s="101"/>
    </row>
    <row r="17" spans="1:6" ht="24" customHeight="1">
      <c r="A17" s="63" t="s">
        <v>245</v>
      </c>
      <c r="B17" s="112">
        <v>0</v>
      </c>
      <c r="C17" s="112">
        <v>0</v>
      </c>
      <c r="D17" s="112">
        <f t="shared" si="0"/>
        <v>0</v>
      </c>
      <c r="E17" s="19"/>
      <c r="F17" s="101"/>
    </row>
    <row r="18" spans="1:6" ht="24" customHeight="1">
      <c r="A18" s="63" t="s">
        <v>246</v>
      </c>
      <c r="B18" s="112">
        <v>3068000</v>
      </c>
      <c r="C18" s="112">
        <v>2445031</v>
      </c>
      <c r="D18" s="112">
        <f t="shared" si="0"/>
        <v>-622969</v>
      </c>
      <c r="E18" s="19">
        <f>ABS(D18/B18*100)</f>
        <v>20.305378096479792</v>
      </c>
      <c r="F18" s="101"/>
    </row>
    <row r="19" spans="1:6" ht="24" customHeight="1">
      <c r="A19" s="63" t="s">
        <v>325</v>
      </c>
      <c r="B19" s="179">
        <f>27669000+853000</f>
        <v>28522000</v>
      </c>
      <c r="C19" s="179">
        <f>26401540+781342</f>
        <v>27182882</v>
      </c>
      <c r="D19" s="112">
        <f t="shared" si="0"/>
        <v>-1339118</v>
      </c>
      <c r="E19" s="19">
        <f>ABS(D19/B19*100)</f>
        <v>4.6950354112614825</v>
      </c>
      <c r="F19" s="101"/>
    </row>
    <row r="20" spans="1:6" ht="24" customHeight="1">
      <c r="A20" s="63" t="s">
        <v>247</v>
      </c>
      <c r="B20" s="112">
        <v>264000</v>
      </c>
      <c r="C20" s="112">
        <v>62000</v>
      </c>
      <c r="D20" s="112">
        <f t="shared" si="0"/>
        <v>-202000</v>
      </c>
      <c r="E20" s="19">
        <f>ABS(D20/B20*100)</f>
        <v>76.51515151515152</v>
      </c>
      <c r="F20" s="101"/>
    </row>
    <row r="21" spans="1:6" ht="24" customHeight="1">
      <c r="A21" s="63" t="s">
        <v>248</v>
      </c>
      <c r="B21" s="179">
        <f>13344000+838000+20000</f>
        <v>14202000</v>
      </c>
      <c r="C21" s="179">
        <f>11558777+676000+6800</f>
        <v>12241577</v>
      </c>
      <c r="D21" s="112">
        <f t="shared" si="0"/>
        <v>-1960423</v>
      </c>
      <c r="E21" s="19">
        <f>ABS(D21/B21*100)</f>
        <v>13.803851570201381</v>
      </c>
      <c r="F21" s="102"/>
    </row>
    <row r="22" spans="1:6" ht="24" customHeight="1">
      <c r="A22" s="63" t="s">
        <v>249</v>
      </c>
      <c r="B22" s="112">
        <v>0</v>
      </c>
      <c r="C22" s="112">
        <v>0</v>
      </c>
      <c r="D22" s="112">
        <f t="shared" si="0"/>
        <v>0</v>
      </c>
      <c r="E22" s="19"/>
      <c r="F22" s="101"/>
    </row>
    <row r="23" spans="1:6" ht="24" customHeight="1">
      <c r="A23" s="63" t="s">
        <v>250</v>
      </c>
      <c r="B23" s="112">
        <v>800000</v>
      </c>
      <c r="C23" s="112">
        <v>787996</v>
      </c>
      <c r="D23" s="112">
        <f t="shared" si="0"/>
        <v>-12004</v>
      </c>
      <c r="E23" s="19">
        <f>ABS(D23/B23*100)</f>
        <v>1.5005</v>
      </c>
      <c r="F23" s="101"/>
    </row>
    <row r="24" spans="1:6" ht="24" customHeight="1">
      <c r="A24" s="63" t="s">
        <v>251</v>
      </c>
      <c r="B24" s="112">
        <v>0</v>
      </c>
      <c r="C24" s="112">
        <v>0</v>
      </c>
      <c r="D24" s="112">
        <f t="shared" si="0"/>
        <v>0</v>
      </c>
      <c r="E24" s="19"/>
      <c r="F24" s="101"/>
    </row>
    <row r="25" spans="1:6" ht="24" customHeight="1">
      <c r="A25" s="63" t="s">
        <v>252</v>
      </c>
      <c r="B25" s="112">
        <v>0</v>
      </c>
      <c r="C25" s="141">
        <v>0</v>
      </c>
      <c r="D25" s="112">
        <f t="shared" si="0"/>
        <v>0</v>
      </c>
      <c r="E25" s="19"/>
      <c r="F25" s="101"/>
    </row>
    <row r="26" spans="1:6" ht="24" customHeight="1">
      <c r="A26" s="62" t="s">
        <v>253</v>
      </c>
      <c r="B26" s="112">
        <v>0</v>
      </c>
      <c r="C26" s="112">
        <v>0</v>
      </c>
      <c r="D26" s="112">
        <f t="shared" si="0"/>
        <v>0</v>
      </c>
      <c r="E26" s="19"/>
      <c r="F26" s="101"/>
    </row>
    <row r="27" spans="1:6" ht="24" customHeight="1">
      <c r="A27" s="62" t="s">
        <v>254</v>
      </c>
      <c r="B27" s="112">
        <v>0</v>
      </c>
      <c r="C27" s="112">
        <v>0</v>
      </c>
      <c r="D27" s="112">
        <f t="shared" si="0"/>
        <v>0</v>
      </c>
      <c r="E27" s="19"/>
      <c r="F27" s="101"/>
    </row>
    <row r="28" spans="1:6" ht="24" customHeight="1">
      <c r="A28" s="62" t="s">
        <v>255</v>
      </c>
      <c r="B28" s="112">
        <v>0</v>
      </c>
      <c r="C28" s="112">
        <v>0</v>
      </c>
      <c r="D28" s="112">
        <f t="shared" si="0"/>
        <v>0</v>
      </c>
      <c r="E28" s="19"/>
      <c r="F28" s="101"/>
    </row>
    <row r="29" spans="1:6" ht="24" customHeight="1">
      <c r="A29" s="62" t="s">
        <v>256</v>
      </c>
      <c r="B29" s="112">
        <v>0</v>
      </c>
      <c r="C29" s="112">
        <v>0</v>
      </c>
      <c r="D29" s="112">
        <f t="shared" si="0"/>
        <v>0</v>
      </c>
      <c r="E29" s="19"/>
      <c r="F29" s="101"/>
    </row>
    <row r="30" spans="1:6" ht="24" customHeight="1">
      <c r="A30" s="62" t="s">
        <v>257</v>
      </c>
      <c r="B30" s="112">
        <v>0</v>
      </c>
      <c r="C30" s="112">
        <v>0</v>
      </c>
      <c r="D30" s="112">
        <f t="shared" si="0"/>
        <v>0</v>
      </c>
      <c r="E30" s="19"/>
      <c r="F30" s="101"/>
    </row>
    <row r="31" spans="1:6" ht="24" customHeight="1">
      <c r="A31" s="62" t="s">
        <v>258</v>
      </c>
      <c r="B31" s="112">
        <v>0</v>
      </c>
      <c r="C31" s="112">
        <v>0</v>
      </c>
      <c r="D31" s="112">
        <f t="shared" si="0"/>
        <v>0</v>
      </c>
      <c r="E31" s="19"/>
      <c r="F31" s="101"/>
    </row>
    <row r="32" spans="1:6" ht="24" customHeight="1">
      <c r="A32" s="62" t="s">
        <v>259</v>
      </c>
      <c r="B32" s="112">
        <v>0</v>
      </c>
      <c r="C32" s="112">
        <v>0</v>
      </c>
      <c r="D32" s="112">
        <f t="shared" si="0"/>
        <v>0</v>
      </c>
      <c r="E32" s="19"/>
      <c r="F32" s="101"/>
    </row>
    <row r="33" spans="1:6" ht="24" customHeight="1">
      <c r="A33" s="62" t="s">
        <v>260</v>
      </c>
      <c r="B33" s="112">
        <f>866844000</f>
        <v>866844000</v>
      </c>
      <c r="C33" s="141">
        <f>407360176-716132</f>
        <v>406644044</v>
      </c>
      <c r="D33" s="112">
        <f t="shared" si="0"/>
        <v>-460199956</v>
      </c>
      <c r="E33" s="19">
        <f>ABS(D33/B33*100)</f>
        <v>53.08913206989955</v>
      </c>
      <c r="F33" s="101"/>
    </row>
    <row r="34" spans="1:6" ht="24" customHeight="1">
      <c r="A34" s="63" t="s">
        <v>261</v>
      </c>
      <c r="B34" s="112">
        <f>288900000</f>
        <v>288900000</v>
      </c>
      <c r="C34" s="141">
        <f>548480154+716132</f>
        <v>549196286</v>
      </c>
      <c r="D34" s="112">
        <f t="shared" si="0"/>
        <v>260296286</v>
      </c>
      <c r="E34" s="19">
        <f>ABS(D34/B34*100)</f>
        <v>90.0990951886466</v>
      </c>
      <c r="F34" s="101"/>
    </row>
    <row r="35" spans="1:6" ht="24" customHeight="1">
      <c r="A35" s="62" t="s">
        <v>262</v>
      </c>
      <c r="B35" s="112">
        <v>0</v>
      </c>
      <c r="C35" s="112">
        <v>0</v>
      </c>
      <c r="D35" s="112">
        <f t="shared" si="0"/>
        <v>0</v>
      </c>
      <c r="E35" s="19"/>
      <c r="F35" s="101"/>
    </row>
    <row r="36" spans="1:6" ht="24" customHeight="1">
      <c r="A36" s="62" t="s">
        <v>263</v>
      </c>
      <c r="B36" s="112">
        <v>0</v>
      </c>
      <c r="C36" s="112">
        <v>0</v>
      </c>
      <c r="D36" s="112">
        <f t="shared" si="0"/>
        <v>0</v>
      </c>
      <c r="E36" s="19"/>
      <c r="F36" s="101"/>
    </row>
    <row r="37" spans="1:6" ht="24" customHeight="1">
      <c r="A37" s="62" t="s">
        <v>264</v>
      </c>
      <c r="B37" s="112">
        <v>0</v>
      </c>
      <c r="C37" s="112">
        <v>0</v>
      </c>
      <c r="D37" s="112">
        <f t="shared" si="0"/>
        <v>0</v>
      </c>
      <c r="E37" s="19"/>
      <c r="F37" s="101"/>
    </row>
    <row r="38" spans="1:6" ht="24" customHeight="1">
      <c r="A38" s="62" t="s">
        <v>265</v>
      </c>
      <c r="B38" s="112">
        <v>0</v>
      </c>
      <c r="C38" s="112">
        <v>0</v>
      </c>
      <c r="D38" s="112">
        <f t="shared" si="0"/>
        <v>0</v>
      </c>
      <c r="E38" s="19"/>
      <c r="F38" s="101"/>
    </row>
    <row r="39" spans="1:6" ht="24" customHeight="1">
      <c r="A39" s="62" t="s">
        <v>266</v>
      </c>
      <c r="B39" s="112">
        <v>0</v>
      </c>
      <c r="C39" s="112">
        <v>0</v>
      </c>
      <c r="D39" s="112">
        <f t="shared" si="0"/>
        <v>0</v>
      </c>
      <c r="E39" s="19"/>
      <c r="F39" s="101"/>
    </row>
    <row r="40" spans="1:6" ht="24" customHeight="1">
      <c r="A40" s="62" t="s">
        <v>267</v>
      </c>
      <c r="B40" s="112">
        <v>0</v>
      </c>
      <c r="C40" s="112">
        <v>0</v>
      </c>
      <c r="D40" s="112">
        <f t="shared" si="0"/>
        <v>0</v>
      </c>
      <c r="E40" s="19"/>
      <c r="F40" s="101"/>
    </row>
    <row r="41" spans="1:6" ht="24" customHeight="1" thickBot="1">
      <c r="A41" s="115" t="s">
        <v>268</v>
      </c>
      <c r="B41" s="116">
        <v>0</v>
      </c>
      <c r="C41" s="116">
        <v>0</v>
      </c>
      <c r="D41" s="116">
        <f t="shared" si="0"/>
        <v>0</v>
      </c>
      <c r="E41" s="130"/>
      <c r="F41" s="104"/>
    </row>
  </sheetData>
  <mergeCells count="9">
    <mergeCell ref="A1:F1"/>
    <mergeCell ref="A2:F2"/>
    <mergeCell ref="A3:F3"/>
    <mergeCell ref="A4:F4"/>
    <mergeCell ref="B5:B6"/>
    <mergeCell ref="C5:C6"/>
    <mergeCell ref="F5:F6"/>
    <mergeCell ref="A5:A6"/>
    <mergeCell ref="D5:E5"/>
  </mergeCells>
  <printOptions horizontalCentered="1" verticalCentered="1"/>
  <pageMargins left="0.15748031496062992" right="0.15748031496062992" top="0.5905511811023623" bottom="0.7874015748031497" header="0.5118110236220472" footer="0.5118110236220472"/>
  <pageSetup firstPageNumber="26" useFirstPageNumber="1" horizontalDpi="600" verticalDpi="600" orientation="portrait" paperSize="9" scale="75" r:id="rId1"/>
  <headerFooter alignWithMargins="0">
    <oddFooter>&amp;C&amp;14-&amp;P--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F11" sqref="F11"/>
    </sheetView>
  </sheetViews>
  <sheetFormatPr defaultColWidth="9.00390625" defaultRowHeight="16.5"/>
  <cols>
    <col min="1" max="1" width="9.50390625" style="28" customWidth="1"/>
    <col min="2" max="3" width="9.625" style="28" customWidth="1"/>
    <col min="4" max="4" width="15.00390625" style="28" customWidth="1"/>
    <col min="5" max="5" width="5.625" style="28" customWidth="1"/>
    <col min="6" max="16384" width="9.00390625" style="28" customWidth="1"/>
  </cols>
  <sheetData>
    <row r="1" spans="1:8" ht="30">
      <c r="A1" s="275" t="s">
        <v>309</v>
      </c>
      <c r="B1" s="275"/>
      <c r="C1" s="275"/>
      <c r="D1" s="275"/>
      <c r="E1" s="276" t="s">
        <v>308</v>
      </c>
      <c r="F1" s="276"/>
      <c r="G1" s="276"/>
      <c r="H1" s="276"/>
    </row>
    <row r="4" ht="30">
      <c r="H4" s="27"/>
    </row>
    <row r="5" ht="30">
      <c r="H5" s="27"/>
    </row>
    <row r="6" spans="1:8" ht="30">
      <c r="A6" s="276" t="s">
        <v>310</v>
      </c>
      <c r="B6" s="276"/>
      <c r="C6" s="276"/>
      <c r="D6" s="276"/>
      <c r="E6" s="276" t="s">
        <v>352</v>
      </c>
      <c r="F6" s="276"/>
      <c r="G6" s="276"/>
      <c r="H6" s="276"/>
    </row>
  </sheetData>
  <mergeCells count="4">
    <mergeCell ref="A1:D1"/>
    <mergeCell ref="A6:D6"/>
    <mergeCell ref="E1:H1"/>
    <mergeCell ref="E6:H6"/>
  </mergeCells>
  <printOptions verticalCentered="1"/>
  <pageMargins left="0.984251968503937" right="0.7874015748031497" top="1.3779527559055118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I1"/>
  <sheetViews>
    <sheetView workbookViewId="0" topLeftCell="A1">
      <selection activeCell="A1" sqref="A1:H1"/>
    </sheetView>
  </sheetViews>
  <sheetFormatPr defaultColWidth="9.00390625" defaultRowHeight="79.5" customHeight="1"/>
  <cols>
    <col min="1" max="16384" width="9.00390625" style="3" customWidth="1"/>
  </cols>
  <sheetData>
    <row r="1" spans="1:9" s="2" customFormat="1" ht="79.5" customHeight="1">
      <c r="A1" s="224" t="s">
        <v>38</v>
      </c>
      <c r="B1" s="225"/>
      <c r="C1" s="225"/>
      <c r="D1" s="225"/>
      <c r="E1" s="225"/>
      <c r="F1" s="225"/>
      <c r="G1" s="225"/>
      <c r="H1" s="226"/>
      <c r="I1" s="1"/>
    </row>
  </sheetData>
  <mergeCells count="1">
    <mergeCell ref="A1:H1"/>
  </mergeCells>
  <printOptions horizontalCentered="1" verticalCentered="1"/>
  <pageMargins left="1.141732283464567" right="1.14173228346456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1"/>
  <sheetViews>
    <sheetView workbookViewId="0" topLeftCell="A1">
      <selection activeCell="C3" sqref="C3"/>
    </sheetView>
  </sheetViews>
  <sheetFormatPr defaultColWidth="9.00390625" defaultRowHeight="79.5" customHeight="1"/>
  <cols>
    <col min="1" max="16384" width="9.00390625" style="3" customWidth="1"/>
  </cols>
  <sheetData>
    <row r="1" spans="1:9" s="2" customFormat="1" ht="79.5" customHeight="1">
      <c r="A1" s="227" t="s">
        <v>101</v>
      </c>
      <c r="B1" s="227"/>
      <c r="C1" s="227"/>
      <c r="D1" s="227"/>
      <c r="E1" s="227"/>
      <c r="F1" s="227"/>
      <c r="G1" s="227"/>
      <c r="H1" s="227"/>
      <c r="I1" s="1"/>
    </row>
  </sheetData>
  <mergeCells count="1">
    <mergeCell ref="A1:H1"/>
  </mergeCells>
  <printOptions horizontalCentered="1" verticalCentered="1"/>
  <pageMargins left="0.7480314960629921" right="0.7480314960629921" top="0.984251968503937" bottom="0.984251968503937" header="0.5118110236220472" footer="0.5118110236220472"/>
  <pageSetup firstPageNumber="6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I1"/>
  <sheetViews>
    <sheetView workbookViewId="0" topLeftCell="A1">
      <selection activeCell="A1" sqref="A1:H1"/>
    </sheetView>
  </sheetViews>
  <sheetFormatPr defaultColWidth="9.00390625" defaultRowHeight="79.5" customHeight="1"/>
  <cols>
    <col min="1" max="16384" width="9.00390625" style="3" customWidth="1"/>
  </cols>
  <sheetData>
    <row r="1" spans="1:9" s="2" customFormat="1" ht="79.5" customHeight="1">
      <c r="A1" s="224" t="s">
        <v>39</v>
      </c>
      <c r="B1" s="225"/>
      <c r="C1" s="225"/>
      <c r="D1" s="225"/>
      <c r="E1" s="225"/>
      <c r="F1" s="225"/>
      <c r="G1" s="225"/>
      <c r="H1" s="226"/>
      <c r="I1" s="1"/>
    </row>
  </sheetData>
  <mergeCells count="1">
    <mergeCell ref="A1:H1"/>
  </mergeCells>
  <printOptions horizontalCentered="1" verticalCentered="1"/>
  <pageMargins left="1.141732283464567" right="1.14173228346456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9"/>
  <sheetViews>
    <sheetView zoomScale="75" zoomScaleNormal="75" workbookViewId="0" topLeftCell="A1">
      <pane xSplit="9" ySplit="6" topLeftCell="J7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D31" sqref="D31"/>
    </sheetView>
  </sheetViews>
  <sheetFormatPr defaultColWidth="9.00390625" defaultRowHeight="49.5" customHeight="1"/>
  <cols>
    <col min="1" max="1" width="28.50390625" style="7" customWidth="1"/>
    <col min="2" max="2" width="21.375" style="7" customWidth="1"/>
    <col min="3" max="3" width="9.625" style="7" customWidth="1"/>
    <col min="4" max="4" width="20.75390625" style="7" customWidth="1"/>
    <col min="5" max="5" width="9.625" style="7" customWidth="1"/>
    <col min="6" max="6" width="22.125" style="7" customWidth="1"/>
    <col min="7" max="7" width="10.125" style="7" customWidth="1"/>
    <col min="8" max="8" width="21.50390625" style="7" customWidth="1"/>
    <col min="9" max="9" width="9.25390625" style="7" customWidth="1"/>
    <col min="10" max="16384" width="9.00390625" style="7" customWidth="1"/>
  </cols>
  <sheetData>
    <row r="1" spans="1:9" s="9" customFormat="1" ht="25.5">
      <c r="A1" s="233" t="s">
        <v>107</v>
      </c>
      <c r="B1" s="233"/>
      <c r="C1" s="233"/>
      <c r="D1" s="233"/>
      <c r="E1" s="233"/>
      <c r="F1" s="233"/>
      <c r="G1" s="233"/>
      <c r="H1" s="208"/>
      <c r="I1" s="208"/>
    </row>
    <row r="2" spans="1:9" s="4" customFormat="1" ht="27.75">
      <c r="A2" s="221" t="s">
        <v>108</v>
      </c>
      <c r="B2" s="221"/>
      <c r="C2" s="221"/>
      <c r="D2" s="221"/>
      <c r="E2" s="221"/>
      <c r="F2" s="221"/>
      <c r="G2" s="221"/>
      <c r="H2" s="209"/>
      <c r="I2" s="209"/>
    </row>
    <row r="3" spans="1:9" ht="19.5">
      <c r="A3" s="223" t="s">
        <v>333</v>
      </c>
      <c r="B3" s="223"/>
      <c r="C3" s="223"/>
      <c r="D3" s="223"/>
      <c r="E3" s="223"/>
      <c r="F3" s="223"/>
      <c r="G3" s="223"/>
      <c r="H3" s="209"/>
      <c r="I3" s="209"/>
    </row>
    <row r="4" spans="1:9" ht="20.25" thickBot="1">
      <c r="A4" s="210" t="s">
        <v>109</v>
      </c>
      <c r="B4" s="210"/>
      <c r="C4" s="210"/>
      <c r="D4" s="210"/>
      <c r="E4" s="210"/>
      <c r="F4" s="210"/>
      <c r="G4" s="210"/>
      <c r="H4" s="211"/>
      <c r="I4" s="211"/>
    </row>
    <row r="5" spans="1:9" s="11" customFormat="1" ht="33.75" customHeight="1">
      <c r="A5" s="199" t="s">
        <v>110</v>
      </c>
      <c r="B5" s="230" t="s">
        <v>297</v>
      </c>
      <c r="C5" s="202"/>
      <c r="D5" s="230" t="s">
        <v>111</v>
      </c>
      <c r="E5" s="232"/>
      <c r="F5" s="201" t="s">
        <v>112</v>
      </c>
      <c r="G5" s="201"/>
      <c r="H5" s="230" t="s">
        <v>113</v>
      </c>
      <c r="I5" s="231"/>
    </row>
    <row r="6" spans="1:9" s="11" customFormat="1" ht="33" customHeight="1">
      <c r="A6" s="200"/>
      <c r="B6" s="10" t="s">
        <v>114</v>
      </c>
      <c r="C6" s="10" t="s">
        <v>115</v>
      </c>
      <c r="D6" s="10" t="s">
        <v>114</v>
      </c>
      <c r="E6" s="10" t="s">
        <v>115</v>
      </c>
      <c r="F6" s="10" t="s">
        <v>114</v>
      </c>
      <c r="G6" s="10" t="s">
        <v>115</v>
      </c>
      <c r="H6" s="10" t="s">
        <v>114</v>
      </c>
      <c r="I6" s="37" t="s">
        <v>115</v>
      </c>
    </row>
    <row r="7" spans="1:9" s="36" customFormat="1" ht="42.75" customHeight="1">
      <c r="A7" s="38" t="s">
        <v>116</v>
      </c>
      <c r="B7" s="44">
        <f>B8+B10+B12+B19+B16</f>
        <v>2532389000</v>
      </c>
      <c r="C7" s="44">
        <f aca="true" t="shared" si="0" ref="C7:C12">B7/$B$7*100</f>
        <v>100</v>
      </c>
      <c r="D7" s="137">
        <f>D8+D10+D12+D19+D16</f>
        <v>2682560748</v>
      </c>
      <c r="E7" s="137">
        <f>D7/$D$7*100</f>
        <v>100</v>
      </c>
      <c r="F7" s="44">
        <f aca="true" t="shared" si="1" ref="F7:F33">D7-B7</f>
        <v>150171748</v>
      </c>
      <c r="G7" s="44">
        <f>ABS(F7/B7*100)</f>
        <v>5.9300426593228766</v>
      </c>
      <c r="H7" s="44">
        <v>2751338887</v>
      </c>
      <c r="I7" s="45">
        <f>H7/$H$7*100</f>
        <v>100</v>
      </c>
    </row>
    <row r="8" spans="1:9" ht="30" customHeight="1">
      <c r="A8" s="187" t="s">
        <v>313</v>
      </c>
      <c r="B8" s="46">
        <f>B9</f>
        <v>894000000</v>
      </c>
      <c r="C8" s="46">
        <f t="shared" si="0"/>
        <v>35.30263320524612</v>
      </c>
      <c r="D8" s="138">
        <f>D9</f>
        <v>1036226725</v>
      </c>
      <c r="E8" s="138">
        <f>D8/$D$7*100</f>
        <v>38.628266881656465</v>
      </c>
      <c r="F8" s="46">
        <f t="shared" si="1"/>
        <v>142226725</v>
      </c>
      <c r="G8" s="46">
        <f aca="true" t="shared" si="2" ref="G8:G38">ABS(F8/B8*100)</f>
        <v>15.909029642058165</v>
      </c>
      <c r="H8" s="46">
        <v>1027142874</v>
      </c>
      <c r="I8" s="47">
        <f>H8/$H$7*100</f>
        <v>37.33247397669628</v>
      </c>
    </row>
    <row r="9" spans="1:9" ht="30" customHeight="1">
      <c r="A9" s="40" t="s">
        <v>117</v>
      </c>
      <c r="B9" s="12">
        <f>'基金來源明細表'!B9</f>
        <v>894000000</v>
      </c>
      <c r="C9" s="12">
        <f t="shared" si="0"/>
        <v>35.30263320524612</v>
      </c>
      <c r="D9" s="12">
        <f>'基金來源明細表'!C9</f>
        <v>1036226725</v>
      </c>
      <c r="E9" s="131">
        <f aca="true" t="shared" si="3" ref="E9:E38">D9/$D$7*100</f>
        <v>38.628266881656465</v>
      </c>
      <c r="F9" s="12">
        <f t="shared" si="1"/>
        <v>142226725</v>
      </c>
      <c r="G9" s="12">
        <f t="shared" si="2"/>
        <v>15.909029642058165</v>
      </c>
      <c r="H9" s="12">
        <v>1027142874</v>
      </c>
      <c r="I9" s="39">
        <f aca="true" t="shared" si="4" ref="I9:I38">H9/$H$7*100</f>
        <v>37.33247397669628</v>
      </c>
    </row>
    <row r="10" spans="1:9" ht="30" customHeight="1">
      <c r="A10" s="41" t="s">
        <v>362</v>
      </c>
      <c r="B10" s="46">
        <f>B11</f>
        <v>278513000</v>
      </c>
      <c r="C10" s="46">
        <f t="shared" si="0"/>
        <v>10.99803387236321</v>
      </c>
      <c r="D10" s="138">
        <f>D11</f>
        <v>273233564</v>
      </c>
      <c r="E10" s="138">
        <f t="shared" si="3"/>
        <v>10.185549915457125</v>
      </c>
      <c r="F10" s="46">
        <f t="shared" si="1"/>
        <v>-5279436</v>
      </c>
      <c r="G10" s="46">
        <f t="shared" si="2"/>
        <v>1.8955797395453715</v>
      </c>
      <c r="H10" s="46">
        <v>269151856</v>
      </c>
      <c r="I10" s="47">
        <f t="shared" si="4"/>
        <v>9.782577394291014</v>
      </c>
    </row>
    <row r="11" spans="1:9" ht="30" customHeight="1">
      <c r="A11" s="40" t="s">
        <v>118</v>
      </c>
      <c r="B11" s="12">
        <f>'基金來源明細表'!B11</f>
        <v>278513000</v>
      </c>
      <c r="C11" s="12">
        <f t="shared" si="0"/>
        <v>10.99803387236321</v>
      </c>
      <c r="D11" s="12">
        <f>'基金來源明細表'!C11</f>
        <v>273233564</v>
      </c>
      <c r="E11" s="131">
        <f t="shared" si="3"/>
        <v>10.185549915457125</v>
      </c>
      <c r="F11" s="12">
        <f t="shared" si="1"/>
        <v>-5279436</v>
      </c>
      <c r="G11" s="12">
        <f t="shared" si="2"/>
        <v>1.8955797395453715</v>
      </c>
      <c r="H11" s="12">
        <v>269151856</v>
      </c>
      <c r="I11" s="39">
        <f t="shared" si="4"/>
        <v>9.782577394291014</v>
      </c>
    </row>
    <row r="12" spans="1:9" s="36" customFormat="1" ht="30" customHeight="1">
      <c r="A12" s="41" t="s">
        <v>363</v>
      </c>
      <c r="B12" s="46">
        <f>B13+B14+B15</f>
        <v>2196000</v>
      </c>
      <c r="C12" s="46">
        <f t="shared" si="0"/>
        <v>0.08671653525583946</v>
      </c>
      <c r="D12" s="138">
        <f>D13+D14+D15</f>
        <v>6017927</v>
      </c>
      <c r="E12" s="138">
        <f t="shared" si="3"/>
        <v>0.2243351620084169</v>
      </c>
      <c r="F12" s="46">
        <f t="shared" si="1"/>
        <v>3821927</v>
      </c>
      <c r="G12" s="46">
        <f t="shared" si="2"/>
        <v>174.04039162112932</v>
      </c>
      <c r="H12" s="46">
        <v>3188960</v>
      </c>
      <c r="I12" s="47">
        <f t="shared" si="4"/>
        <v>0.11590575101699568</v>
      </c>
    </row>
    <row r="13" spans="1:9" ht="30" customHeight="1">
      <c r="A13" s="40" t="s">
        <v>119</v>
      </c>
      <c r="B13" s="106">
        <f>'基金來源明細表'!B13</f>
        <v>0</v>
      </c>
      <c r="C13" s="12">
        <f aca="true" t="shared" si="5" ref="C13:C38">B13/$B$7*100</f>
        <v>0</v>
      </c>
      <c r="D13" s="12">
        <f>'基金來源明細表'!C13</f>
        <v>1557799</v>
      </c>
      <c r="E13" s="131">
        <f t="shared" si="3"/>
        <v>0.05807134101851847</v>
      </c>
      <c r="F13" s="12">
        <f t="shared" si="1"/>
        <v>1557799</v>
      </c>
      <c r="G13" s="46"/>
      <c r="H13" s="12">
        <v>274085</v>
      </c>
      <c r="I13" s="39">
        <f t="shared" si="4"/>
        <v>0.009961877153521292</v>
      </c>
    </row>
    <row r="14" spans="1:9" ht="30" customHeight="1">
      <c r="A14" s="40" t="s">
        <v>120</v>
      </c>
      <c r="B14" s="106">
        <f>'基金來源明細表'!B14</f>
        <v>0</v>
      </c>
      <c r="C14" s="12">
        <f t="shared" si="5"/>
        <v>0</v>
      </c>
      <c r="D14" s="12">
        <f>'基金來源明細表'!C14</f>
        <v>180000</v>
      </c>
      <c r="E14" s="131">
        <f t="shared" si="3"/>
        <v>0.00671000647922699</v>
      </c>
      <c r="F14" s="12">
        <f t="shared" si="1"/>
        <v>180000</v>
      </c>
      <c r="G14" s="46"/>
      <c r="H14" s="12">
        <v>180000</v>
      </c>
      <c r="I14" s="39">
        <f t="shared" si="4"/>
        <v>0.00654226932387337</v>
      </c>
    </row>
    <row r="15" spans="1:9" ht="30" customHeight="1">
      <c r="A15" s="40" t="s">
        <v>121</v>
      </c>
      <c r="B15" s="106">
        <f>'基金來源明細表'!B15</f>
        <v>2196000</v>
      </c>
      <c r="C15" s="12">
        <f t="shared" si="5"/>
        <v>0.08671653525583946</v>
      </c>
      <c r="D15" s="12">
        <f>'基金來源明細表'!C15</f>
        <v>4280128</v>
      </c>
      <c r="E15" s="131">
        <f t="shared" si="3"/>
        <v>0.15955381451067144</v>
      </c>
      <c r="F15" s="12">
        <f t="shared" si="1"/>
        <v>2084128</v>
      </c>
      <c r="G15" s="12">
        <f t="shared" si="2"/>
        <v>94.90564663023679</v>
      </c>
      <c r="H15" s="12">
        <v>2734875</v>
      </c>
      <c r="I15" s="39">
        <f t="shared" si="4"/>
        <v>0.09940160453960102</v>
      </c>
    </row>
    <row r="16" spans="1:9" ht="30" customHeight="1">
      <c r="A16" s="41" t="s">
        <v>364</v>
      </c>
      <c r="B16" s="46">
        <f>SUM(B17:B18)</f>
        <v>1349940000</v>
      </c>
      <c r="C16" s="46">
        <f t="shared" si="5"/>
        <v>53.30697613992164</v>
      </c>
      <c r="D16" s="138">
        <f>SUM(D17:D18)</f>
        <v>1349940000</v>
      </c>
      <c r="E16" s="138">
        <f t="shared" si="3"/>
        <v>50.32281192537601</v>
      </c>
      <c r="F16" s="124">
        <f>D16-B16</f>
        <v>0</v>
      </c>
      <c r="G16" s="46"/>
      <c r="H16" s="46">
        <v>1377725272</v>
      </c>
      <c r="I16" s="47">
        <f t="shared" si="4"/>
        <v>50.074721020726074</v>
      </c>
    </row>
    <row r="17" spans="1:9" ht="30" customHeight="1">
      <c r="A17" s="40" t="s">
        <v>122</v>
      </c>
      <c r="B17" s="12">
        <f>'基金來源明細表'!B17</f>
        <v>1349940000</v>
      </c>
      <c r="C17" s="12">
        <f t="shared" si="5"/>
        <v>53.30697613992164</v>
      </c>
      <c r="D17" s="12">
        <f>'基金來源明細表'!C17</f>
        <v>1349940000</v>
      </c>
      <c r="E17" s="131">
        <f t="shared" si="3"/>
        <v>50.32281192537601</v>
      </c>
      <c r="F17" s="106">
        <f>D17-B17</f>
        <v>0</v>
      </c>
      <c r="G17" s="46"/>
      <c r="H17" s="12">
        <v>1362354000</v>
      </c>
      <c r="I17" s="39">
        <f t="shared" si="4"/>
        <v>49.51603768031212</v>
      </c>
    </row>
    <row r="18" spans="1:9" ht="30" customHeight="1">
      <c r="A18" s="40" t="s">
        <v>103</v>
      </c>
      <c r="B18" s="12">
        <f>'基金來源明細表'!B18</f>
        <v>0</v>
      </c>
      <c r="C18" s="12">
        <f t="shared" si="5"/>
        <v>0</v>
      </c>
      <c r="D18" s="12">
        <f>'基金來源明細表'!C18</f>
        <v>0</v>
      </c>
      <c r="E18" s="131">
        <f t="shared" si="3"/>
        <v>0</v>
      </c>
      <c r="F18" s="106">
        <f>D18-B18</f>
        <v>0</v>
      </c>
      <c r="G18" s="46"/>
      <c r="H18" s="12">
        <v>15371272</v>
      </c>
      <c r="I18" s="39">
        <f t="shared" si="4"/>
        <v>0.5586833404139648</v>
      </c>
    </row>
    <row r="19" spans="1:9" s="36" customFormat="1" ht="30" customHeight="1">
      <c r="A19" s="41" t="s">
        <v>365</v>
      </c>
      <c r="B19" s="46">
        <f>B20</f>
        <v>7740000</v>
      </c>
      <c r="C19" s="46">
        <f t="shared" si="5"/>
        <v>0.3056402472132046</v>
      </c>
      <c r="D19" s="138">
        <f>D20</f>
        <v>17142532</v>
      </c>
      <c r="E19" s="138">
        <f t="shared" si="3"/>
        <v>0.6390361155019778</v>
      </c>
      <c r="F19" s="46">
        <f t="shared" si="1"/>
        <v>9402532</v>
      </c>
      <c r="G19" s="46">
        <f t="shared" si="2"/>
        <v>121.47974160206718</v>
      </c>
      <c r="H19" s="46">
        <v>74129925</v>
      </c>
      <c r="I19" s="47">
        <f t="shared" si="4"/>
        <v>2.6943218572696312</v>
      </c>
    </row>
    <row r="20" spans="1:9" ht="30" customHeight="1">
      <c r="A20" s="40" t="s">
        <v>123</v>
      </c>
      <c r="B20" s="12">
        <f>'基金來源明細表'!B20</f>
        <v>7740000</v>
      </c>
      <c r="C20" s="12">
        <f t="shared" si="5"/>
        <v>0.3056402472132046</v>
      </c>
      <c r="D20" s="12">
        <f>'基金來源明細表'!C20</f>
        <v>17142532</v>
      </c>
      <c r="E20" s="131">
        <f t="shared" si="3"/>
        <v>0.6390361155019778</v>
      </c>
      <c r="F20" s="12">
        <f t="shared" si="1"/>
        <v>9402532</v>
      </c>
      <c r="G20" s="12">
        <f t="shared" si="2"/>
        <v>121.47974160206718</v>
      </c>
      <c r="H20" s="12">
        <v>74129925</v>
      </c>
      <c r="I20" s="39">
        <f t="shared" si="4"/>
        <v>2.6943218572696312</v>
      </c>
    </row>
    <row r="21" spans="1:9" s="36" customFormat="1" ht="39.75" customHeight="1">
      <c r="A21" s="41" t="s">
        <v>124</v>
      </c>
      <c r="B21" s="46">
        <f>SUM(B22,B25,B27,B29,B31,B33)</f>
        <v>2913216000</v>
      </c>
      <c r="C21" s="46">
        <f t="shared" si="5"/>
        <v>115.03825044256628</v>
      </c>
      <c r="D21" s="46">
        <f>SUM(D22,D25,D27,D29,D31,D33)</f>
        <v>2473660042</v>
      </c>
      <c r="E21" s="138">
        <f t="shared" si="3"/>
        <v>92.21263838458282</v>
      </c>
      <c r="F21" s="46">
        <f t="shared" si="1"/>
        <v>-439555958</v>
      </c>
      <c r="G21" s="46">
        <f t="shared" si="2"/>
        <v>15.088340789011182</v>
      </c>
      <c r="H21" s="46">
        <f>SUM(H22,H25,H27,H33)</f>
        <v>2620710616</v>
      </c>
      <c r="I21" s="47">
        <f t="shared" si="4"/>
        <v>95.25219261003379</v>
      </c>
    </row>
    <row r="22" spans="1:9" s="36" customFormat="1" ht="30" customHeight="1">
      <c r="A22" s="41" t="s">
        <v>366</v>
      </c>
      <c r="B22" s="46">
        <f>'基金用途明細表'!B8</f>
        <v>1633674000</v>
      </c>
      <c r="C22" s="46">
        <f t="shared" si="5"/>
        <v>64.51117896973965</v>
      </c>
      <c r="D22" s="138">
        <f>'基金用途明細表'!C8</f>
        <v>1501771024</v>
      </c>
      <c r="E22" s="138">
        <f t="shared" si="3"/>
        <v>55.98274056308529</v>
      </c>
      <c r="F22" s="46">
        <f t="shared" si="1"/>
        <v>-131902976</v>
      </c>
      <c r="G22" s="46">
        <f t="shared" si="2"/>
        <v>8.074008400696835</v>
      </c>
      <c r="H22" s="46">
        <v>1466813718</v>
      </c>
      <c r="I22" s="47">
        <f t="shared" si="4"/>
        <v>53.31272439504468</v>
      </c>
    </row>
    <row r="23" spans="1:9" ht="30" customHeight="1">
      <c r="A23" s="40" t="s">
        <v>125</v>
      </c>
      <c r="B23" s="12">
        <f>'基金用途明細表'!B36</f>
        <v>66323000</v>
      </c>
      <c r="C23" s="12">
        <f t="shared" si="5"/>
        <v>2.6189894206616757</v>
      </c>
      <c r="D23" s="131">
        <f>'基金用途明細表'!C36</f>
        <v>46390384</v>
      </c>
      <c r="E23" s="131">
        <f t="shared" si="3"/>
        <v>1.729332095632378</v>
      </c>
      <c r="F23" s="12">
        <f t="shared" si="1"/>
        <v>-19932616</v>
      </c>
      <c r="G23" s="12">
        <f t="shared" si="2"/>
        <v>30.053851605023894</v>
      </c>
      <c r="H23" s="12">
        <v>98348383</v>
      </c>
      <c r="I23" s="39">
        <f t="shared" si="4"/>
        <v>3.57456449529694</v>
      </c>
    </row>
    <row r="24" spans="1:9" ht="30" customHeight="1">
      <c r="A24" s="40" t="s">
        <v>126</v>
      </c>
      <c r="B24" s="12">
        <f>B22-B23</f>
        <v>1567351000</v>
      </c>
      <c r="C24" s="12">
        <f t="shared" si="5"/>
        <v>61.89218954907797</v>
      </c>
      <c r="D24" s="12">
        <f>D22-D23</f>
        <v>1455380640</v>
      </c>
      <c r="E24" s="131">
        <f t="shared" si="3"/>
        <v>54.2534084674529</v>
      </c>
      <c r="F24" s="12">
        <f t="shared" si="1"/>
        <v>-111970360</v>
      </c>
      <c r="G24" s="12">
        <f t="shared" si="2"/>
        <v>7.143923728635131</v>
      </c>
      <c r="H24" s="12">
        <v>1368465335</v>
      </c>
      <c r="I24" s="39">
        <f t="shared" si="4"/>
        <v>49.73815989974775</v>
      </c>
    </row>
    <row r="25" spans="1:9" s="36" customFormat="1" ht="30" customHeight="1">
      <c r="A25" s="41" t="s">
        <v>367</v>
      </c>
      <c r="B25" s="46">
        <f>'基金用途明細表'!B47</f>
        <v>3564000</v>
      </c>
      <c r="C25" s="46">
        <f t="shared" si="5"/>
        <v>0.14073667197259188</v>
      </c>
      <c r="D25" s="138">
        <f>'基金用途明細表'!C47</f>
        <v>3255121</v>
      </c>
      <c r="E25" s="138">
        <f t="shared" si="3"/>
        <v>0.12134379444815466</v>
      </c>
      <c r="F25" s="46">
        <f aca="true" t="shared" si="6" ref="F25:F32">D25-B25</f>
        <v>-308879</v>
      </c>
      <c r="G25" s="46">
        <f t="shared" si="2"/>
        <v>8.666638608305274</v>
      </c>
      <c r="H25" s="46">
        <v>3276858</v>
      </c>
      <c r="I25" s="47">
        <f t="shared" si="4"/>
        <v>0.11910048651160579</v>
      </c>
    </row>
    <row r="26" spans="1:9" ht="30" customHeight="1">
      <c r="A26" s="40" t="s">
        <v>126</v>
      </c>
      <c r="B26" s="12">
        <f>B25</f>
        <v>3564000</v>
      </c>
      <c r="C26" s="12">
        <f t="shared" si="5"/>
        <v>0.14073667197259188</v>
      </c>
      <c r="D26" s="131">
        <f>D25</f>
        <v>3255121</v>
      </c>
      <c r="E26" s="131">
        <f t="shared" si="3"/>
        <v>0.12134379444815466</v>
      </c>
      <c r="F26" s="12">
        <f t="shared" si="6"/>
        <v>-308879</v>
      </c>
      <c r="G26" s="12">
        <f t="shared" si="2"/>
        <v>8.666638608305274</v>
      </c>
      <c r="H26" s="12">
        <f>H25</f>
        <v>3276858</v>
      </c>
      <c r="I26" s="39">
        <f t="shared" si="4"/>
        <v>0.11910048651160579</v>
      </c>
    </row>
    <row r="27" spans="1:9" s="36" customFormat="1" ht="30" customHeight="1">
      <c r="A27" s="41" t="s">
        <v>368</v>
      </c>
      <c r="B27" s="124">
        <f>'基金用途明細表'!B60</f>
        <v>1155744000</v>
      </c>
      <c r="C27" s="46">
        <f t="shared" si="5"/>
        <v>45.63848603038475</v>
      </c>
      <c r="D27" s="188">
        <f>'基金用途明細表'!C60</f>
        <v>955840330</v>
      </c>
      <c r="E27" s="138">
        <f t="shared" si="3"/>
        <v>35.6316378189248</v>
      </c>
      <c r="F27" s="46">
        <f t="shared" si="6"/>
        <v>-199903670</v>
      </c>
      <c r="G27" s="46">
        <f t="shared" si="2"/>
        <v>17.296535391920703</v>
      </c>
      <c r="H27" s="124">
        <v>1148708788</v>
      </c>
      <c r="I27" s="47">
        <f t="shared" si="4"/>
        <v>41.750901476645325</v>
      </c>
    </row>
    <row r="28" spans="1:9" ht="30" customHeight="1">
      <c r="A28" s="40" t="s">
        <v>126</v>
      </c>
      <c r="B28" s="106">
        <f>B27</f>
        <v>1155744000</v>
      </c>
      <c r="C28" s="12">
        <f t="shared" si="5"/>
        <v>45.63848603038475</v>
      </c>
      <c r="D28" s="139">
        <f>D27</f>
        <v>955840330</v>
      </c>
      <c r="E28" s="131">
        <f t="shared" si="3"/>
        <v>35.6316378189248</v>
      </c>
      <c r="F28" s="12">
        <f t="shared" si="6"/>
        <v>-199903670</v>
      </c>
      <c r="G28" s="12">
        <f t="shared" si="2"/>
        <v>17.296535391920703</v>
      </c>
      <c r="H28" s="106">
        <v>1148708788</v>
      </c>
      <c r="I28" s="39">
        <f t="shared" si="4"/>
        <v>41.750901476645325</v>
      </c>
    </row>
    <row r="29" spans="1:9" s="36" customFormat="1" ht="42" customHeight="1">
      <c r="A29" s="41" t="s">
        <v>370</v>
      </c>
      <c r="B29" s="124">
        <f>'基金用途明細表'!B63</f>
        <v>9295000</v>
      </c>
      <c r="C29" s="46">
        <f t="shared" si="5"/>
        <v>0.3670447154840745</v>
      </c>
      <c r="D29" s="124">
        <f>'基金用途明細表'!C63</f>
        <v>184619</v>
      </c>
      <c r="E29" s="138">
        <f t="shared" si="3"/>
        <v>0.006882192701046708</v>
      </c>
      <c r="F29" s="46">
        <f t="shared" si="6"/>
        <v>-9110381</v>
      </c>
      <c r="G29" s="46">
        <f t="shared" si="2"/>
        <v>98.01378160301238</v>
      </c>
      <c r="H29" s="124">
        <v>0</v>
      </c>
      <c r="I29" s="47"/>
    </row>
    <row r="30" spans="1:9" ht="30" customHeight="1">
      <c r="A30" s="40" t="s">
        <v>125</v>
      </c>
      <c r="B30" s="106">
        <f>B29</f>
        <v>9295000</v>
      </c>
      <c r="C30" s="12">
        <f t="shared" si="5"/>
        <v>0.3670447154840745</v>
      </c>
      <c r="D30" s="106">
        <f>D29</f>
        <v>184619</v>
      </c>
      <c r="E30" s="131">
        <f t="shared" si="3"/>
        <v>0.006882192701046708</v>
      </c>
      <c r="F30" s="12">
        <f t="shared" si="6"/>
        <v>-9110381</v>
      </c>
      <c r="G30" s="12">
        <f t="shared" si="2"/>
        <v>98.01378160301238</v>
      </c>
      <c r="H30" s="106">
        <v>0</v>
      </c>
      <c r="I30" s="39"/>
    </row>
    <row r="31" spans="1:9" s="36" customFormat="1" ht="42.75" customHeight="1">
      <c r="A31" s="41" t="s">
        <v>369</v>
      </c>
      <c r="B31" s="124">
        <f>'基金用途明細表'!B66</f>
        <v>108568000</v>
      </c>
      <c r="C31" s="46">
        <f t="shared" si="5"/>
        <v>4.2871770490236685</v>
      </c>
      <c r="D31" s="188">
        <f>'基金用途明細表'!C66</f>
        <v>10527536</v>
      </c>
      <c r="E31" s="138">
        <f t="shared" si="3"/>
        <v>0.39244352650164105</v>
      </c>
      <c r="F31" s="46">
        <f t="shared" si="6"/>
        <v>-98040464</v>
      </c>
      <c r="G31" s="46">
        <f t="shared" si="2"/>
        <v>90.3032790509174</v>
      </c>
      <c r="H31" s="124">
        <v>0</v>
      </c>
      <c r="I31" s="47"/>
    </row>
    <row r="32" spans="1:9" ht="30" customHeight="1">
      <c r="A32" s="40" t="s">
        <v>125</v>
      </c>
      <c r="B32" s="106">
        <f>B31</f>
        <v>108568000</v>
      </c>
      <c r="C32" s="12">
        <f t="shared" si="5"/>
        <v>4.2871770490236685</v>
      </c>
      <c r="D32" s="139">
        <f>D31</f>
        <v>10527536</v>
      </c>
      <c r="E32" s="131">
        <f t="shared" si="3"/>
        <v>0.39244352650164105</v>
      </c>
      <c r="F32" s="12">
        <f t="shared" si="6"/>
        <v>-98040464</v>
      </c>
      <c r="G32" s="12">
        <f t="shared" si="2"/>
        <v>90.3032790509174</v>
      </c>
      <c r="H32" s="106">
        <v>0</v>
      </c>
      <c r="I32" s="39"/>
    </row>
    <row r="33" spans="1:9" s="36" customFormat="1" ht="30" customHeight="1">
      <c r="A33" s="41" t="s">
        <v>371</v>
      </c>
      <c r="B33" s="46">
        <f>'基金用途明細表'!B69</f>
        <v>2371000</v>
      </c>
      <c r="C33" s="46">
        <f t="shared" si="5"/>
        <v>0.09362700596156436</v>
      </c>
      <c r="D33" s="138">
        <f>'基金用途明細表'!C69</f>
        <v>2081412</v>
      </c>
      <c r="E33" s="138">
        <f t="shared" si="3"/>
        <v>0.07759048892189338</v>
      </c>
      <c r="F33" s="46">
        <f t="shared" si="1"/>
        <v>-289588</v>
      </c>
      <c r="G33" s="46">
        <f t="shared" si="2"/>
        <v>12.21374947279629</v>
      </c>
      <c r="H33" s="46">
        <v>1911252</v>
      </c>
      <c r="I33" s="47">
        <f t="shared" si="4"/>
        <v>0.0694662518321757</v>
      </c>
    </row>
    <row r="34" spans="1:9" ht="30" customHeight="1">
      <c r="A34" s="40" t="s">
        <v>125</v>
      </c>
      <c r="B34" s="12">
        <f>'基金用途明細表'!B82</f>
        <v>308000</v>
      </c>
      <c r="C34" s="12">
        <f>B34/$B$7*100</f>
        <v>0.012162428442075842</v>
      </c>
      <c r="D34" s="12">
        <f>'基金用途明細表'!C82</f>
        <v>295710</v>
      </c>
      <c r="E34" s="131">
        <f>D34/$D$7*100</f>
        <v>0.01102342231095674</v>
      </c>
      <c r="F34" s="12">
        <f>D34-B34</f>
        <v>-12290</v>
      </c>
      <c r="G34" s="12">
        <f>ABS(F34/B34*100)</f>
        <v>3.9902597402597406</v>
      </c>
      <c r="H34" s="106">
        <v>0</v>
      </c>
      <c r="I34" s="39"/>
    </row>
    <row r="35" spans="1:9" ht="30" customHeight="1">
      <c r="A35" s="40" t="s">
        <v>126</v>
      </c>
      <c r="B35" s="12">
        <f>B33-B34</f>
        <v>2063000</v>
      </c>
      <c r="C35" s="12">
        <f>B35/$B$7*100</f>
        <v>0.08146457751948852</v>
      </c>
      <c r="D35" s="12">
        <f>D33-D34</f>
        <v>1785702</v>
      </c>
      <c r="E35" s="131">
        <f>D35/$D$7*100</f>
        <v>0.06656706661093664</v>
      </c>
      <c r="F35" s="12">
        <f>D35-B35</f>
        <v>-277298</v>
      </c>
      <c r="G35" s="12">
        <f>ABS(F35/B35*100)</f>
        <v>13.441492971400873</v>
      </c>
      <c r="H35" s="12">
        <v>1911252</v>
      </c>
      <c r="I35" s="39">
        <f>H35/$H$7*100</f>
        <v>0.0694662518321757</v>
      </c>
    </row>
    <row r="36" spans="1:9" ht="36" customHeight="1">
      <c r="A36" s="41" t="s">
        <v>127</v>
      </c>
      <c r="B36" s="46">
        <f>B7-B21</f>
        <v>-380827000</v>
      </c>
      <c r="C36" s="46">
        <f t="shared" si="5"/>
        <v>-15.038250442566289</v>
      </c>
      <c r="D36" s="46">
        <f>D7-D21</f>
        <v>208900706</v>
      </c>
      <c r="E36" s="138">
        <f t="shared" si="3"/>
        <v>7.787361615417181</v>
      </c>
      <c r="F36" s="46">
        <f>D36-B36</f>
        <v>589727706</v>
      </c>
      <c r="G36" s="46">
        <f t="shared" si="2"/>
        <v>154.85448930879375</v>
      </c>
      <c r="H36" s="46">
        <f>H7-H21</f>
        <v>130628271</v>
      </c>
      <c r="I36" s="47">
        <f t="shared" si="4"/>
        <v>4.747807389966208</v>
      </c>
    </row>
    <row r="37" spans="1:9" ht="35.25" customHeight="1">
      <c r="A37" s="42" t="s">
        <v>314</v>
      </c>
      <c r="B37" s="46">
        <v>1770843000</v>
      </c>
      <c r="C37" s="46">
        <f t="shared" si="5"/>
        <v>69.92776386250296</v>
      </c>
      <c r="D37" s="46">
        <f>H38</f>
        <v>2100471745</v>
      </c>
      <c r="E37" s="138">
        <f t="shared" si="3"/>
        <v>78.30099454657345</v>
      </c>
      <c r="F37" s="46">
        <f>D37-B37</f>
        <v>329628745</v>
      </c>
      <c r="G37" s="46">
        <f t="shared" si="2"/>
        <v>18.61422751762861</v>
      </c>
      <c r="H37" s="46">
        <v>1969843474</v>
      </c>
      <c r="I37" s="47">
        <f t="shared" si="4"/>
        <v>71.59581407101305</v>
      </c>
    </row>
    <row r="38" spans="1:9" ht="35.25" customHeight="1" thickBot="1">
      <c r="A38" s="43" t="s">
        <v>328</v>
      </c>
      <c r="B38" s="49">
        <f>SUM(B36:B37)</f>
        <v>1390016000</v>
      </c>
      <c r="C38" s="46">
        <f t="shared" si="5"/>
        <v>54.88951341993666</v>
      </c>
      <c r="D38" s="49">
        <f>D36+D37</f>
        <v>2309372451</v>
      </c>
      <c r="E38" s="138">
        <f t="shared" si="3"/>
        <v>86.08835616199063</v>
      </c>
      <c r="F38" s="49">
        <f>D38-B38</f>
        <v>919356451</v>
      </c>
      <c r="G38" s="49">
        <f t="shared" si="2"/>
        <v>66.1399905468714</v>
      </c>
      <c r="H38" s="49">
        <f>SUM(H36:H37)</f>
        <v>2100471745</v>
      </c>
      <c r="I38" s="50">
        <f t="shared" si="4"/>
        <v>76.34362146097926</v>
      </c>
    </row>
    <row r="39" spans="1:9" ht="56.25" customHeight="1">
      <c r="A39" s="228" t="s">
        <v>338</v>
      </c>
      <c r="B39" s="228"/>
      <c r="C39" s="228"/>
      <c r="D39" s="228"/>
      <c r="E39" s="228"/>
      <c r="F39" s="228"/>
      <c r="G39" s="229"/>
      <c r="H39" s="228"/>
      <c r="I39" s="228"/>
    </row>
  </sheetData>
  <mergeCells count="10">
    <mergeCell ref="A39:I39"/>
    <mergeCell ref="H5:I5"/>
    <mergeCell ref="D5:E5"/>
    <mergeCell ref="A1:I1"/>
    <mergeCell ref="A2:I2"/>
    <mergeCell ref="A3:I3"/>
    <mergeCell ref="A4:I4"/>
    <mergeCell ref="A5:A6"/>
    <mergeCell ref="F5:G5"/>
    <mergeCell ref="B5:C5"/>
  </mergeCells>
  <printOptions horizontalCentered="1"/>
  <pageMargins left="0.15748031496062992" right="0.15748031496062992" top="0.5905511811023623" bottom="0.5905511811023623" header="0.5118110236220472" footer="0.31496062992125984"/>
  <pageSetup firstPageNumber="7" useFirstPageNumber="1" horizontalDpi="600" verticalDpi="600" orientation="portrait" paperSize="9" scale="64" r:id="rId1"/>
  <headerFooter alignWithMargins="0">
    <oddFooter>&amp;C&amp;14-&amp;P--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E27"/>
  <sheetViews>
    <sheetView zoomScale="75" zoomScaleNormal="75" workbookViewId="0" topLeftCell="A1">
      <pane xSplit="5" ySplit="6" topLeftCell="F7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C24" sqref="C24"/>
    </sheetView>
  </sheetViews>
  <sheetFormatPr defaultColWidth="9.00390625" defaultRowHeight="25.5" customHeight="1"/>
  <cols>
    <col min="1" max="1" width="49.875" style="7" customWidth="1"/>
    <col min="2" max="4" width="20.625" style="7" customWidth="1"/>
    <col min="5" max="5" width="16.00390625" style="7" bestFit="1" customWidth="1"/>
    <col min="6" max="16384" width="9.00390625" style="7" customWidth="1"/>
  </cols>
  <sheetData>
    <row r="1" spans="1:5" s="9" customFormat="1" ht="27.75" customHeight="1">
      <c r="A1" s="233" t="s">
        <v>128</v>
      </c>
      <c r="B1" s="233"/>
      <c r="C1" s="233"/>
      <c r="D1" s="233"/>
      <c r="E1" s="233"/>
    </row>
    <row r="2" spans="1:5" s="4" customFormat="1" ht="34.5" customHeight="1">
      <c r="A2" s="221" t="s">
        <v>296</v>
      </c>
      <c r="B2" s="221"/>
      <c r="C2" s="221"/>
      <c r="D2" s="221"/>
      <c r="E2" s="221"/>
    </row>
    <row r="3" spans="1:5" ht="24.75" customHeight="1">
      <c r="A3" s="223" t="s">
        <v>333</v>
      </c>
      <c r="B3" s="223"/>
      <c r="C3" s="223"/>
      <c r="D3" s="223"/>
      <c r="E3" s="223"/>
    </row>
    <row r="4" spans="1:5" ht="23.25" customHeight="1" thickBot="1">
      <c r="A4" s="210" t="s">
        <v>129</v>
      </c>
      <c r="B4" s="210"/>
      <c r="C4" s="210"/>
      <c r="D4" s="210"/>
      <c r="E4" s="210"/>
    </row>
    <row r="5" spans="1:5" s="11" customFormat="1" ht="47.25" customHeight="1">
      <c r="A5" s="205" t="s">
        <v>130</v>
      </c>
      <c r="B5" s="203" t="s">
        <v>131</v>
      </c>
      <c r="C5" s="203" t="s">
        <v>132</v>
      </c>
      <c r="D5" s="201" t="s">
        <v>133</v>
      </c>
      <c r="E5" s="207"/>
    </row>
    <row r="6" spans="1:5" s="11" customFormat="1" ht="45" customHeight="1">
      <c r="A6" s="206"/>
      <c r="B6" s="204"/>
      <c r="C6" s="204"/>
      <c r="D6" s="10" t="s">
        <v>134</v>
      </c>
      <c r="E6" s="37" t="s">
        <v>135</v>
      </c>
    </row>
    <row r="7" spans="1:5" s="36" customFormat="1" ht="45" customHeight="1">
      <c r="A7" s="38" t="s">
        <v>136</v>
      </c>
      <c r="B7" s="44"/>
      <c r="C7" s="44"/>
      <c r="D7" s="44"/>
      <c r="E7" s="45"/>
    </row>
    <row r="8" spans="1:5" ht="45" customHeight="1">
      <c r="A8" s="48" t="s">
        <v>137</v>
      </c>
      <c r="B8" s="12">
        <v>-393988000</v>
      </c>
      <c r="C8" s="148">
        <f>'基金來源、用途及餘絀決算表'!D36</f>
        <v>208900706</v>
      </c>
      <c r="D8" s="12">
        <f aca="true" t="shared" si="0" ref="D8:D25">C8-B8</f>
        <v>602888706</v>
      </c>
      <c r="E8" s="39">
        <f>ABS(D8/B8*100)</f>
        <v>153.02209864259825</v>
      </c>
    </row>
    <row r="9" spans="1:5" ht="45" customHeight="1">
      <c r="A9" s="48" t="s">
        <v>138</v>
      </c>
      <c r="B9" s="12">
        <f>B10+B12+B13</f>
        <v>378166000</v>
      </c>
      <c r="C9" s="131">
        <f>SUM(C10:C13)</f>
        <v>9939488</v>
      </c>
      <c r="D9" s="12">
        <f t="shared" si="0"/>
        <v>-368226512</v>
      </c>
      <c r="E9" s="39">
        <f aca="true" t="shared" si="1" ref="E9:E25">ABS(D9/B9*100)</f>
        <v>97.3716600646277</v>
      </c>
    </row>
    <row r="10" spans="1:5" ht="45" customHeight="1">
      <c r="A10" s="48" t="s">
        <v>270</v>
      </c>
      <c r="B10" s="106">
        <v>0</v>
      </c>
      <c r="C10" s="139">
        <v>499193</v>
      </c>
      <c r="D10" s="106">
        <f t="shared" si="0"/>
        <v>499193</v>
      </c>
      <c r="E10" s="39"/>
    </row>
    <row r="11" spans="1:5" ht="45" customHeight="1" hidden="1">
      <c r="A11" s="48" t="s">
        <v>273</v>
      </c>
      <c r="B11" s="106">
        <v>0</v>
      </c>
      <c r="C11" s="131">
        <v>0</v>
      </c>
      <c r="D11" s="12">
        <f t="shared" si="0"/>
        <v>0</v>
      </c>
      <c r="E11" s="39" t="e">
        <f t="shared" si="1"/>
        <v>#DIV/0!</v>
      </c>
    </row>
    <row r="12" spans="1:5" ht="45" customHeight="1">
      <c r="A12" s="48" t="s">
        <v>139</v>
      </c>
      <c r="B12" s="12">
        <v>377407000</v>
      </c>
      <c r="C12" s="131">
        <v>-19218070</v>
      </c>
      <c r="D12" s="12">
        <f t="shared" si="0"/>
        <v>-396625070</v>
      </c>
      <c r="E12" s="39">
        <f t="shared" si="1"/>
        <v>105.09213395617994</v>
      </c>
    </row>
    <row r="13" spans="1:5" ht="45" customHeight="1">
      <c r="A13" s="48" t="s">
        <v>140</v>
      </c>
      <c r="B13" s="12">
        <v>759000</v>
      </c>
      <c r="C13" s="131">
        <v>28658365</v>
      </c>
      <c r="D13" s="12">
        <f t="shared" si="0"/>
        <v>27899365</v>
      </c>
      <c r="E13" s="39">
        <f t="shared" si="1"/>
        <v>3675.8056653491435</v>
      </c>
    </row>
    <row r="14" spans="1:5" s="36" customFormat="1" ht="45" customHeight="1">
      <c r="A14" s="42" t="s">
        <v>372</v>
      </c>
      <c r="B14" s="46">
        <f>B8+B9</f>
        <v>-15822000</v>
      </c>
      <c r="C14" s="138">
        <f>C8+C9</f>
        <v>218840194</v>
      </c>
      <c r="D14" s="46">
        <f t="shared" si="0"/>
        <v>234662194</v>
      </c>
      <c r="E14" s="47">
        <f t="shared" si="1"/>
        <v>1483.138629756036</v>
      </c>
    </row>
    <row r="15" spans="1:5" s="36" customFormat="1" ht="45" customHeight="1">
      <c r="A15" s="42" t="s">
        <v>141</v>
      </c>
      <c r="B15" s="46"/>
      <c r="C15" s="138"/>
      <c r="D15" s="46"/>
      <c r="E15" s="39"/>
    </row>
    <row r="16" spans="1:5" ht="45" customHeight="1">
      <c r="A16" s="48" t="s">
        <v>142</v>
      </c>
      <c r="B16" s="106">
        <f>B17</f>
        <v>1696000</v>
      </c>
      <c r="C16" s="106">
        <f>C17</f>
        <v>657302</v>
      </c>
      <c r="D16" s="106">
        <f>D17</f>
        <v>-1038698</v>
      </c>
      <c r="E16" s="39">
        <f t="shared" si="1"/>
        <v>61.24398584905661</v>
      </c>
    </row>
    <row r="17" spans="1:5" ht="45" customHeight="1">
      <c r="A17" s="48" t="s">
        <v>355</v>
      </c>
      <c r="B17" s="106">
        <v>1696000</v>
      </c>
      <c r="C17" s="139">
        <v>657302</v>
      </c>
      <c r="D17" s="12">
        <f>C17-B17</f>
        <v>-1038698</v>
      </c>
      <c r="E17" s="39">
        <f t="shared" si="1"/>
        <v>61.24398584905661</v>
      </c>
    </row>
    <row r="18" spans="1:5" ht="45" customHeight="1">
      <c r="A18" s="48" t="s">
        <v>143</v>
      </c>
      <c r="B18" s="106">
        <f>B19</f>
        <v>4287000</v>
      </c>
      <c r="C18" s="106">
        <f>C19</f>
        <v>30135533</v>
      </c>
      <c r="D18" s="106">
        <f>D19</f>
        <v>25848533</v>
      </c>
      <c r="E18" s="39">
        <f t="shared" si="1"/>
        <v>602.9515512013063</v>
      </c>
    </row>
    <row r="19" spans="1:5" ht="45" customHeight="1">
      <c r="A19" s="48" t="s">
        <v>357</v>
      </c>
      <c r="B19" s="106">
        <v>4287000</v>
      </c>
      <c r="C19" s="139">
        <v>30135533</v>
      </c>
      <c r="D19" s="12">
        <f>C19-B19</f>
        <v>25848533</v>
      </c>
      <c r="E19" s="39">
        <f t="shared" si="1"/>
        <v>602.9515512013063</v>
      </c>
    </row>
    <row r="20" spans="1:5" ht="45" customHeight="1">
      <c r="A20" s="48" t="s">
        <v>144</v>
      </c>
      <c r="B20" s="106">
        <f>B21</f>
        <v>0</v>
      </c>
      <c r="C20" s="106">
        <f>C21</f>
        <v>-31032863</v>
      </c>
      <c r="D20" s="106">
        <f>D21</f>
        <v>-31032863</v>
      </c>
      <c r="E20" s="39"/>
    </row>
    <row r="21" spans="1:5" ht="45" customHeight="1">
      <c r="A21" s="48" t="s">
        <v>356</v>
      </c>
      <c r="B21" s="106">
        <v>0</v>
      </c>
      <c r="C21" s="131">
        <v>-31032863</v>
      </c>
      <c r="D21" s="12">
        <f>C21-B21</f>
        <v>-31032863</v>
      </c>
      <c r="E21" s="39"/>
    </row>
    <row r="22" spans="1:5" s="36" customFormat="1" ht="45" customHeight="1">
      <c r="A22" s="42" t="s">
        <v>358</v>
      </c>
      <c r="B22" s="46">
        <f>SUM(B16,B18,B20)</f>
        <v>5983000</v>
      </c>
      <c r="C22" s="46">
        <f>SUM(C16,C18,C20)</f>
        <v>-240028</v>
      </c>
      <c r="D22" s="46">
        <f>SUM(D16,D18,D20)</f>
        <v>-6223028</v>
      </c>
      <c r="E22" s="47">
        <f t="shared" si="1"/>
        <v>104.01183352833027</v>
      </c>
    </row>
    <row r="23" spans="1:5" s="36" customFormat="1" ht="57" customHeight="1">
      <c r="A23" s="42" t="s">
        <v>373</v>
      </c>
      <c r="B23" s="46">
        <f>B14+B22</f>
        <v>-9839000</v>
      </c>
      <c r="C23" s="138">
        <f>C14+C22</f>
        <v>218600166</v>
      </c>
      <c r="D23" s="46">
        <f t="shared" si="0"/>
        <v>228439166</v>
      </c>
      <c r="E23" s="47">
        <f t="shared" si="1"/>
        <v>2321.772192295965</v>
      </c>
    </row>
    <row r="24" spans="1:5" s="36" customFormat="1" ht="62.25" customHeight="1">
      <c r="A24" s="42" t="s">
        <v>145</v>
      </c>
      <c r="B24" s="46">
        <v>1214247000</v>
      </c>
      <c r="C24" s="138">
        <f>'平衡表(資產)'!D10</f>
        <v>1616895589</v>
      </c>
      <c r="D24" s="46">
        <f t="shared" si="0"/>
        <v>402648589</v>
      </c>
      <c r="E24" s="47">
        <f t="shared" si="1"/>
        <v>33.16035279477734</v>
      </c>
    </row>
    <row r="25" spans="1:5" s="36" customFormat="1" ht="60" customHeight="1" thickBot="1">
      <c r="A25" s="43" t="s">
        <v>146</v>
      </c>
      <c r="B25" s="49">
        <f>SUM(B23:B24)</f>
        <v>1204408000</v>
      </c>
      <c r="C25" s="140">
        <f>SUM(C23:C24)</f>
        <v>1835495755</v>
      </c>
      <c r="D25" s="49">
        <f t="shared" si="0"/>
        <v>631087755</v>
      </c>
      <c r="E25" s="50">
        <f t="shared" si="1"/>
        <v>52.39817030441512</v>
      </c>
    </row>
    <row r="26" spans="2:3" ht="25.5" customHeight="1">
      <c r="B26" s="13"/>
      <c r="C26" s="13"/>
    </row>
    <row r="27" spans="2:4" ht="25.5" customHeight="1">
      <c r="B27" s="13"/>
      <c r="C27" s="13"/>
      <c r="D27" s="13"/>
    </row>
  </sheetData>
  <mergeCells count="8">
    <mergeCell ref="C5:C6"/>
    <mergeCell ref="A5:A6"/>
    <mergeCell ref="D5:E5"/>
    <mergeCell ref="B5:B6"/>
    <mergeCell ref="A1:E1"/>
    <mergeCell ref="A2:E2"/>
    <mergeCell ref="A3:E3"/>
    <mergeCell ref="A4:E4"/>
  </mergeCells>
  <printOptions horizontalCentered="1"/>
  <pageMargins left="0.15748031496062992" right="0.15748031496062992" top="0.5905511811023623" bottom="0.7874015748031497" header="0.5118110236220472" footer="0.5118110236220472"/>
  <pageSetup firstPageNumber="8" useFirstPageNumber="1" horizontalDpi="600" verticalDpi="600" orientation="portrait" paperSize="9" scale="74" r:id="rId1"/>
  <headerFooter alignWithMargins="0">
    <oddFooter>&amp;C&amp;14-&amp;P--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I1"/>
  <sheetViews>
    <sheetView workbookViewId="0" topLeftCell="A1">
      <selection activeCell="F4" sqref="F4"/>
    </sheetView>
  </sheetViews>
  <sheetFormatPr defaultColWidth="9.00390625" defaultRowHeight="79.5" customHeight="1"/>
  <cols>
    <col min="1" max="16384" width="9.00390625" style="3" customWidth="1"/>
  </cols>
  <sheetData>
    <row r="1" spans="1:9" s="2" customFormat="1" ht="79.5" customHeight="1">
      <c r="A1" s="227" t="s">
        <v>101</v>
      </c>
      <c r="B1" s="227"/>
      <c r="C1" s="227"/>
      <c r="D1" s="227"/>
      <c r="E1" s="227"/>
      <c r="F1" s="227"/>
      <c r="G1" s="227"/>
      <c r="H1" s="227"/>
      <c r="I1" s="1"/>
    </row>
  </sheetData>
  <mergeCells count="1">
    <mergeCell ref="A1:H1"/>
  </mergeCells>
  <printOptions horizontalCentered="1" verticalCentered="1"/>
  <pageMargins left="1.141732283464567" right="1.141732283464567" top="0.984251968503937" bottom="0.984251968503937" header="0.5118110236220472" footer="0.5118110236220472"/>
  <pageSetup firstPageNumber="9" useFirstPageNumber="1" horizontalDpi="600" verticalDpi="600" orientation="portrait" paperSize="9" r:id="rId1"/>
  <headerFooter alignWithMargins="0">
    <oddFooter>&amp;C-&amp;P--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J27"/>
  <sheetViews>
    <sheetView zoomScale="75" zoomScaleNormal="75" workbookViewId="0" topLeftCell="A1">
      <pane xSplit="7" ySplit="6" topLeftCell="H7" activePane="bottomRight" state="frozen"/>
      <selection pane="topLeft" activeCell="B42" sqref="B42"/>
      <selection pane="topRight" activeCell="B42" sqref="B42"/>
      <selection pane="bottomLeft" activeCell="B42" sqref="B42"/>
      <selection pane="bottomRight" activeCell="B10" sqref="B10"/>
    </sheetView>
  </sheetViews>
  <sheetFormatPr defaultColWidth="9.00390625" defaultRowHeight="30" customHeight="1"/>
  <cols>
    <col min="1" max="1" width="32.625" style="7" customWidth="1"/>
    <col min="2" max="2" width="22.625" style="7" customWidth="1"/>
    <col min="3" max="3" width="13.625" style="7" customWidth="1"/>
    <col min="4" max="4" width="22.625" style="7" customWidth="1"/>
    <col min="5" max="5" width="13.625" style="7" customWidth="1"/>
    <col min="6" max="6" width="22.625" style="7" customWidth="1"/>
    <col min="7" max="7" width="13.625" style="7" customWidth="1"/>
    <col min="8" max="8" width="17.00390625" style="7" customWidth="1"/>
    <col min="9" max="16384" width="9.00390625" style="7" customWidth="1"/>
  </cols>
  <sheetData>
    <row r="1" spans="1:7" s="9" customFormat="1" ht="25.5">
      <c r="A1" s="233" t="s">
        <v>44</v>
      </c>
      <c r="B1" s="233"/>
      <c r="C1" s="233"/>
      <c r="D1" s="233"/>
      <c r="E1" s="233"/>
      <c r="F1" s="233"/>
      <c r="G1" s="233"/>
    </row>
    <row r="2" spans="1:7" s="4" customFormat="1" ht="27.75">
      <c r="A2" s="221" t="s">
        <v>45</v>
      </c>
      <c r="B2" s="221"/>
      <c r="C2" s="221"/>
      <c r="D2" s="221"/>
      <c r="E2" s="221"/>
      <c r="F2" s="221"/>
      <c r="G2" s="221"/>
    </row>
    <row r="3" spans="1:7" ht="19.5">
      <c r="A3" s="223" t="s">
        <v>334</v>
      </c>
      <c r="B3" s="223"/>
      <c r="C3" s="223"/>
      <c r="D3" s="223"/>
      <c r="E3" s="223"/>
      <c r="F3" s="223"/>
      <c r="G3" s="223"/>
    </row>
    <row r="4" spans="1:7" ht="20.25" thickBot="1">
      <c r="A4" s="210" t="s">
        <v>0</v>
      </c>
      <c r="B4" s="210"/>
      <c r="C4" s="210"/>
      <c r="D4" s="210"/>
      <c r="E4" s="210"/>
      <c r="F4" s="210"/>
      <c r="G4" s="210"/>
    </row>
    <row r="5" spans="1:7" s="11" customFormat="1" ht="43.5" customHeight="1">
      <c r="A5" s="199" t="s">
        <v>40</v>
      </c>
      <c r="B5" s="235" t="s">
        <v>42</v>
      </c>
      <c r="C5" s="235"/>
      <c r="D5" s="235" t="s">
        <v>43</v>
      </c>
      <c r="E5" s="235"/>
      <c r="F5" s="236" t="s">
        <v>6</v>
      </c>
      <c r="G5" s="237"/>
    </row>
    <row r="6" spans="1:7" s="11" customFormat="1" ht="47.25" customHeight="1">
      <c r="A6" s="200"/>
      <c r="B6" s="10" t="s">
        <v>41</v>
      </c>
      <c r="C6" s="10" t="s">
        <v>1</v>
      </c>
      <c r="D6" s="10" t="s">
        <v>41</v>
      </c>
      <c r="E6" s="10" t="s">
        <v>1</v>
      </c>
      <c r="F6" s="10" t="s">
        <v>41</v>
      </c>
      <c r="G6" s="37" t="s">
        <v>1</v>
      </c>
    </row>
    <row r="7" spans="1:7" s="36" customFormat="1" ht="45" customHeight="1">
      <c r="A7" s="70" t="s">
        <v>46</v>
      </c>
      <c r="B7" s="46">
        <f>B26</f>
        <v>2484389861</v>
      </c>
      <c r="C7" s="46">
        <f>B7/B26*100</f>
        <v>100</v>
      </c>
      <c r="D7" s="46">
        <v>2243318433</v>
      </c>
      <c r="E7" s="46">
        <f>D7/D26*100</f>
        <v>100</v>
      </c>
      <c r="F7" s="44">
        <f>B7-D7</f>
        <v>241071428</v>
      </c>
      <c r="G7" s="45">
        <f>ABS(F7/D7*100)</f>
        <v>10.746197439193422</v>
      </c>
    </row>
    <row r="8" spans="1:7" s="36" customFormat="1" ht="45" customHeight="1">
      <c r="A8" s="189" t="s">
        <v>47</v>
      </c>
      <c r="B8" s="46">
        <f>B9+B11+B16</f>
        <v>2419496083</v>
      </c>
      <c r="C8" s="46">
        <f>B8/B26*100</f>
        <v>97.38793902604806</v>
      </c>
      <c r="D8" s="46">
        <v>2181677847</v>
      </c>
      <c r="E8" s="46">
        <f>D8/D26*100</f>
        <v>97.2522587478779</v>
      </c>
      <c r="F8" s="46">
        <f aca="true" t="shared" si="0" ref="F8:F25">B8-D8</f>
        <v>237818236</v>
      </c>
      <c r="G8" s="47">
        <f aca="true" t="shared" si="1" ref="G8:G26">ABS(F8/D8*100)</f>
        <v>10.900703617952628</v>
      </c>
    </row>
    <row r="9" spans="1:7" s="36" customFormat="1" ht="45" customHeight="1">
      <c r="A9" s="189" t="s">
        <v>48</v>
      </c>
      <c r="B9" s="46">
        <f>B10</f>
        <v>1835495755</v>
      </c>
      <c r="C9" s="46">
        <f>B9/B26*100</f>
        <v>73.88114819713475</v>
      </c>
      <c r="D9" s="46">
        <v>1616895589</v>
      </c>
      <c r="E9" s="46">
        <f>D9/D26*100</f>
        <v>72.07606219495634</v>
      </c>
      <c r="F9" s="46">
        <f t="shared" si="0"/>
        <v>218600166</v>
      </c>
      <c r="G9" s="47">
        <f t="shared" si="1"/>
        <v>13.519745337124547</v>
      </c>
    </row>
    <row r="10" spans="1:7" ht="45" customHeight="1">
      <c r="A10" s="55" t="s">
        <v>49</v>
      </c>
      <c r="B10" s="131">
        <v>1835495755</v>
      </c>
      <c r="C10" s="12">
        <f>B10/B26*100</f>
        <v>73.88114819713475</v>
      </c>
      <c r="D10" s="12">
        <v>1616895589</v>
      </c>
      <c r="E10" s="12">
        <f>D10/D26*100</f>
        <v>72.07606219495634</v>
      </c>
      <c r="F10" s="12">
        <f t="shared" si="0"/>
        <v>218600166</v>
      </c>
      <c r="G10" s="39">
        <f t="shared" si="1"/>
        <v>13.519745337124547</v>
      </c>
    </row>
    <row r="11" spans="1:7" s="36" customFormat="1" ht="45" customHeight="1">
      <c r="A11" s="189" t="s">
        <v>50</v>
      </c>
      <c r="B11" s="46">
        <f>B12+B13+B14+B15</f>
        <v>29985998</v>
      </c>
      <c r="C11" s="46">
        <f>B11/B26*100</f>
        <v>1.2069763474211828</v>
      </c>
      <c r="D11" s="46">
        <v>32419200</v>
      </c>
      <c r="E11" s="46">
        <f>D11/D26*100</f>
        <v>1.4451448141780592</v>
      </c>
      <c r="F11" s="46">
        <f t="shared" si="0"/>
        <v>-2433202</v>
      </c>
      <c r="G11" s="47">
        <f t="shared" si="1"/>
        <v>7.505435050834073</v>
      </c>
    </row>
    <row r="12" spans="1:7" ht="45" customHeight="1" hidden="1">
      <c r="A12" s="55" t="s">
        <v>302</v>
      </c>
      <c r="B12" s="131">
        <v>0</v>
      </c>
      <c r="C12" s="12">
        <f>B12/B26*100</f>
        <v>0</v>
      </c>
      <c r="D12" s="106">
        <v>0</v>
      </c>
      <c r="E12" s="106">
        <f>D12/D26*100</f>
        <v>0</v>
      </c>
      <c r="F12" s="12">
        <f>B12-D12</f>
        <v>0</v>
      </c>
      <c r="G12" s="47" t="e">
        <f t="shared" si="1"/>
        <v>#DIV/0!</v>
      </c>
    </row>
    <row r="13" spans="1:7" ht="45" customHeight="1">
      <c r="A13" s="55" t="s">
        <v>51</v>
      </c>
      <c r="B13" s="131">
        <v>29823163</v>
      </c>
      <c r="C13" s="12">
        <f>B13/B26*100</f>
        <v>1.2004220218478827</v>
      </c>
      <c r="D13" s="12">
        <v>32298929</v>
      </c>
      <c r="E13" s="12">
        <f>D13/D26*100</f>
        <v>1.4397835155665573</v>
      </c>
      <c r="F13" s="12">
        <f t="shared" si="0"/>
        <v>-2475766</v>
      </c>
      <c r="G13" s="39">
        <f t="shared" si="1"/>
        <v>7.665164377431834</v>
      </c>
    </row>
    <row r="14" spans="1:7" ht="45" customHeight="1">
      <c r="A14" s="55" t="s">
        <v>52</v>
      </c>
      <c r="B14" s="131">
        <v>162385</v>
      </c>
      <c r="C14" s="12">
        <f>B14/B26*100</f>
        <v>0.006536212474101705</v>
      </c>
      <c r="D14" s="12">
        <v>114371</v>
      </c>
      <c r="E14" s="12">
        <f>D14/D26*100</f>
        <v>0.005098295378737255</v>
      </c>
      <c r="F14" s="12">
        <f t="shared" si="0"/>
        <v>48014</v>
      </c>
      <c r="G14" s="39">
        <f t="shared" si="1"/>
        <v>41.98092173715365</v>
      </c>
    </row>
    <row r="15" spans="1:7" ht="45" customHeight="1">
      <c r="A15" s="55" t="s">
        <v>53</v>
      </c>
      <c r="B15" s="139">
        <v>450</v>
      </c>
      <c r="C15" s="106">
        <f>B15/B26*100</f>
        <v>1.8113099198483647E-05</v>
      </c>
      <c r="D15" s="106">
        <v>5900</v>
      </c>
      <c r="E15" s="106">
        <f>D15/D26*100</f>
        <v>0.00026300323276486</v>
      </c>
      <c r="F15" s="12">
        <f t="shared" si="0"/>
        <v>-5450</v>
      </c>
      <c r="G15" s="39">
        <f t="shared" si="1"/>
        <v>92.37288135593221</v>
      </c>
    </row>
    <row r="16" spans="1:7" s="36" customFormat="1" ht="45" customHeight="1">
      <c r="A16" s="189" t="s">
        <v>374</v>
      </c>
      <c r="B16" s="188">
        <f>B17</f>
        <v>554014330</v>
      </c>
      <c r="C16" s="124">
        <f>B16/B26*100</f>
        <v>22.299814481492124</v>
      </c>
      <c r="D16" s="46">
        <v>532363058</v>
      </c>
      <c r="E16" s="124">
        <f>D16/D26*100</f>
        <v>23.731051738743503</v>
      </c>
      <c r="F16" s="46">
        <f>B16-D16</f>
        <v>21651272</v>
      </c>
      <c r="G16" s="47">
        <f t="shared" si="1"/>
        <v>4.067012478540537</v>
      </c>
    </row>
    <row r="17" spans="1:7" ht="45" customHeight="1">
      <c r="A17" s="55" t="s">
        <v>104</v>
      </c>
      <c r="B17" s="139">
        <v>554014330</v>
      </c>
      <c r="C17" s="106">
        <f>B17/B26*100</f>
        <v>22.299814481492124</v>
      </c>
      <c r="D17" s="12">
        <v>532363058</v>
      </c>
      <c r="E17" s="106">
        <f>D17/D26*100</f>
        <v>23.731051738743503</v>
      </c>
      <c r="F17" s="12">
        <f>B17-D17</f>
        <v>21651272</v>
      </c>
      <c r="G17" s="39">
        <f t="shared" si="1"/>
        <v>4.067012478540537</v>
      </c>
    </row>
    <row r="18" spans="1:7" s="36" customFormat="1" ht="45" customHeight="1">
      <c r="A18" s="190" t="s">
        <v>304</v>
      </c>
      <c r="B18" s="138">
        <f>B19</f>
        <v>42363335</v>
      </c>
      <c r="C18" s="46">
        <f>B18/B26*100</f>
        <v>1.7051806427413205</v>
      </c>
      <c r="D18" s="46">
        <v>37953648</v>
      </c>
      <c r="E18" s="46">
        <f>D18/D26*100</f>
        <v>1.691852901562638</v>
      </c>
      <c r="F18" s="46">
        <f t="shared" si="0"/>
        <v>4409687</v>
      </c>
      <c r="G18" s="47">
        <f t="shared" si="1"/>
        <v>11.61861173397614</v>
      </c>
    </row>
    <row r="19" spans="1:7" s="36" customFormat="1" ht="45" customHeight="1">
      <c r="A19" s="189" t="s">
        <v>54</v>
      </c>
      <c r="B19" s="138">
        <f>B20</f>
        <v>42363335</v>
      </c>
      <c r="C19" s="46">
        <f>B19/B26*100</f>
        <v>1.7051806427413205</v>
      </c>
      <c r="D19" s="46">
        <v>37953648</v>
      </c>
      <c r="E19" s="46">
        <f>D19/D26*100</f>
        <v>1.691852901562638</v>
      </c>
      <c r="F19" s="46">
        <f t="shared" si="0"/>
        <v>4409687</v>
      </c>
      <c r="G19" s="47">
        <f t="shared" si="1"/>
        <v>11.61861173397614</v>
      </c>
    </row>
    <row r="20" spans="1:7" ht="45" customHeight="1">
      <c r="A20" s="55" t="s">
        <v>55</v>
      </c>
      <c r="B20" s="12">
        <v>42363335</v>
      </c>
      <c r="C20" s="12">
        <f>B20/B26*100</f>
        <v>1.7051806427413205</v>
      </c>
      <c r="D20" s="12">
        <v>37953648</v>
      </c>
      <c r="E20" s="12">
        <f>D20/D26*100</f>
        <v>1.691852901562638</v>
      </c>
      <c r="F20" s="12">
        <f t="shared" si="0"/>
        <v>4409687</v>
      </c>
      <c r="G20" s="39">
        <f t="shared" si="1"/>
        <v>11.61861173397614</v>
      </c>
    </row>
    <row r="21" spans="1:7" s="36" customFormat="1" ht="45" customHeight="1">
      <c r="A21" s="189" t="s">
        <v>56</v>
      </c>
      <c r="B21" s="46">
        <f>B22</f>
        <v>22530443</v>
      </c>
      <c r="C21" s="46">
        <f>B21/B26*100</f>
        <v>0.9068803312106256</v>
      </c>
      <c r="D21" s="46">
        <v>23686938</v>
      </c>
      <c r="E21" s="46">
        <f>D21/D26*100</f>
        <v>1.055888350559459</v>
      </c>
      <c r="F21" s="46">
        <f t="shared" si="0"/>
        <v>-1156495</v>
      </c>
      <c r="G21" s="47">
        <f t="shared" si="1"/>
        <v>4.882416629789802</v>
      </c>
    </row>
    <row r="22" spans="1:7" s="36" customFormat="1" ht="45" customHeight="1">
      <c r="A22" s="189" t="s">
        <v>57</v>
      </c>
      <c r="B22" s="46">
        <f>B23+B24+B25</f>
        <v>22530443</v>
      </c>
      <c r="C22" s="46">
        <f>B22/B26*100</f>
        <v>0.9068803312106256</v>
      </c>
      <c r="D22" s="46">
        <f>D23+D24+D25</f>
        <v>23686938</v>
      </c>
      <c r="E22" s="46">
        <f>D22/D26*100</f>
        <v>1.055888350559459</v>
      </c>
      <c r="F22" s="46">
        <f t="shared" si="0"/>
        <v>-1156495</v>
      </c>
      <c r="G22" s="47">
        <f t="shared" si="1"/>
        <v>4.882416629789802</v>
      </c>
    </row>
    <row r="23" spans="1:7" ht="45" customHeight="1">
      <c r="A23" s="55" t="s">
        <v>92</v>
      </c>
      <c r="B23" s="12">
        <v>24000</v>
      </c>
      <c r="C23" s="12">
        <f>B23/B26*100</f>
        <v>0.0009660319572524612</v>
      </c>
      <c r="D23" s="12">
        <v>24390</v>
      </c>
      <c r="E23" s="106">
        <f>D23/D26*100</f>
        <v>0.0010872286181584636</v>
      </c>
      <c r="F23" s="12">
        <f t="shared" si="0"/>
        <v>-390</v>
      </c>
      <c r="G23" s="39">
        <f t="shared" si="1"/>
        <v>1.5990159901599015</v>
      </c>
    </row>
    <row r="24" spans="1:7" ht="45" customHeight="1">
      <c r="A24" s="55" t="s">
        <v>58</v>
      </c>
      <c r="B24" s="12">
        <v>24087514</v>
      </c>
      <c r="C24" s="12">
        <f>B24/B26*100</f>
        <v>0.9695545122819192</v>
      </c>
      <c r="D24" s="12">
        <v>24744426</v>
      </c>
      <c r="E24" s="12">
        <f>D24/D26*100</f>
        <v>1.1030278018492972</v>
      </c>
      <c r="F24" s="12">
        <f t="shared" si="0"/>
        <v>-656912</v>
      </c>
      <c r="G24" s="39">
        <f t="shared" si="1"/>
        <v>2.6547877893793133</v>
      </c>
    </row>
    <row r="25" spans="1:7" ht="45" customHeight="1">
      <c r="A25" s="55" t="s">
        <v>303</v>
      </c>
      <c r="B25" s="131">
        <v>-1581071</v>
      </c>
      <c r="C25" s="12">
        <f>B25/B26*100</f>
        <v>-0.0636402130285461</v>
      </c>
      <c r="D25" s="106">
        <v>-1081878</v>
      </c>
      <c r="E25" s="106">
        <f>D25/D26*100</f>
        <v>-0.04822667990799682</v>
      </c>
      <c r="F25" s="12">
        <f t="shared" si="0"/>
        <v>-499193</v>
      </c>
      <c r="G25" s="39">
        <f t="shared" si="1"/>
        <v>46.1413394116527</v>
      </c>
    </row>
    <row r="26" spans="1:7" s="36" customFormat="1" ht="79.5" customHeight="1" thickBot="1">
      <c r="A26" s="72" t="s">
        <v>2</v>
      </c>
      <c r="B26" s="49">
        <f>B8+B18+B21</f>
        <v>2484389861</v>
      </c>
      <c r="C26" s="49">
        <f>C8+C18+C21</f>
        <v>100.00000000000001</v>
      </c>
      <c r="D26" s="49">
        <v>2243318433</v>
      </c>
      <c r="E26" s="49">
        <f>E8+E18+E21</f>
        <v>100</v>
      </c>
      <c r="F26" s="49">
        <f>B26-D26</f>
        <v>241071428</v>
      </c>
      <c r="G26" s="50">
        <f t="shared" si="1"/>
        <v>10.746197439193422</v>
      </c>
    </row>
    <row r="27" spans="1:10" ht="49.5" customHeight="1">
      <c r="A27" s="234" t="s">
        <v>351</v>
      </c>
      <c r="B27" s="234"/>
      <c r="C27" s="234"/>
      <c r="D27" s="234"/>
      <c r="E27" s="234"/>
      <c r="F27" s="234"/>
      <c r="G27" s="234"/>
      <c r="H27" s="127"/>
      <c r="I27" s="127"/>
      <c r="J27" s="127"/>
    </row>
  </sheetData>
  <mergeCells count="9">
    <mergeCell ref="A27:G27"/>
    <mergeCell ref="A1:G1"/>
    <mergeCell ref="A2:G2"/>
    <mergeCell ref="A3:G3"/>
    <mergeCell ref="A4:G4"/>
    <mergeCell ref="A5:A6"/>
    <mergeCell ref="B5:C5"/>
    <mergeCell ref="D5:E5"/>
    <mergeCell ref="F5:G5"/>
  </mergeCells>
  <printOptions horizontalCentered="1"/>
  <pageMargins left="0.15748031496062992" right="0.15748031496062992" top="0.5905511811023623" bottom="0.7874015748031497" header="0.5118110236220472" footer="0.5118110236220472"/>
  <pageSetup firstPageNumber="10" useFirstPageNumber="1" horizontalDpi="600" verticalDpi="600" orientation="portrait" paperSize="9" scale="68" r:id="rId1"/>
  <headerFooter alignWithMargins="0">
    <oddFooter>&amp;C&amp;14-&amp;P--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省社會處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省社會處</dc:creator>
  <cp:keywords/>
  <dc:description/>
  <cp:lastModifiedBy>i08</cp:lastModifiedBy>
  <cp:lastPrinted>2012-02-07T02:47:49Z</cp:lastPrinted>
  <dcterms:created xsi:type="dcterms:W3CDTF">2000-12-04T04:37:32Z</dcterms:created>
  <dcterms:modified xsi:type="dcterms:W3CDTF">2012-02-07T03:25:47Z</dcterms:modified>
  <cp:category/>
  <cp:version/>
  <cp:contentType/>
  <cp:contentStatus/>
</cp:coreProperties>
</file>